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s\duncan\Documents\"/>
    </mc:Choice>
  </mc:AlternateContent>
  <bookViews>
    <workbookView xWindow="0" yWindow="0" windowWidth="22755" windowHeight="10965"/>
  </bookViews>
  <sheets>
    <sheet name="Inputs" sheetId="7" r:id="rId1"/>
    <sheet name="RiskAMPChartData" sheetId="5" state="veryHidden" r:id="rId2"/>
    <sheet name="Chart" sheetId="4" r:id="rId3"/>
    <sheet name="Model (Random Sampling)" sheetId="2" r:id="rId4"/>
    <sheet name="Data" sheetId="3" r:id="rId5"/>
  </sheets>
  <calcPr calcId="152511"/>
</workbook>
</file>

<file path=xl/calcChain.xml><?xml version="1.0" encoding="utf-8"?>
<calcChain xmlns="http://schemas.openxmlformats.org/spreadsheetml/2006/main">
  <c r="C6" i="4" l="1"/>
  <c r="C5" i="4"/>
  <c r="C4" i="4"/>
  <c r="C7" i="4"/>
  <c r="C17" i="4"/>
  <c r="C16" i="4"/>
  <c r="C15" i="4"/>
  <c r="C14" i="4"/>
  <c r="C20" i="4"/>
  <c r="C19" i="4"/>
  <c r="C9" i="4"/>
  <c r="C10" i="4"/>
  <c r="B1" i="3" l="1"/>
  <c r="R3" i="2"/>
  <c r="R4" i="2" s="1"/>
  <c r="R5" i="2" s="1"/>
  <c r="R6" i="2" s="1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H4" i="2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L1" i="2"/>
  <c r="I1" i="3" s="1"/>
  <c r="B1" i="2"/>
  <c r="B12" i="4"/>
  <c r="B2" i="4"/>
  <c r="O22" i="2"/>
  <c r="N22" i="2"/>
  <c r="M22" i="2"/>
  <c r="L22" i="2"/>
  <c r="E22" i="2"/>
  <c r="D22" i="2"/>
  <c r="C22" i="2"/>
  <c r="B22" i="2"/>
  <c r="A22" i="2"/>
  <c r="O21" i="2"/>
  <c r="N21" i="2"/>
  <c r="M21" i="2"/>
  <c r="Q21" i="2" s="1"/>
  <c r="L21" i="2"/>
  <c r="E21" i="2"/>
  <c r="D21" i="2"/>
  <c r="C21" i="2"/>
  <c r="B21" i="2"/>
  <c r="A21" i="2"/>
  <c r="O20" i="2"/>
  <c r="N20" i="2"/>
  <c r="M20" i="2"/>
  <c r="L20" i="2"/>
  <c r="E20" i="2"/>
  <c r="D20" i="2"/>
  <c r="C20" i="2"/>
  <c r="B20" i="2"/>
  <c r="A20" i="2"/>
  <c r="O19" i="2"/>
  <c r="N19" i="2"/>
  <c r="M19" i="2"/>
  <c r="L19" i="2"/>
  <c r="E19" i="2"/>
  <c r="D19" i="2"/>
  <c r="C19" i="2"/>
  <c r="B19" i="2"/>
  <c r="A19" i="2"/>
  <c r="O18" i="2"/>
  <c r="N18" i="2"/>
  <c r="M18" i="2"/>
  <c r="L18" i="2"/>
  <c r="E18" i="2"/>
  <c r="D18" i="2"/>
  <c r="C18" i="2"/>
  <c r="B18" i="2"/>
  <c r="A18" i="2"/>
  <c r="O17" i="2"/>
  <c r="N17" i="2"/>
  <c r="M17" i="2"/>
  <c r="L17" i="2"/>
  <c r="E17" i="2"/>
  <c r="D17" i="2"/>
  <c r="C17" i="2"/>
  <c r="B17" i="2"/>
  <c r="A17" i="2"/>
  <c r="O16" i="2"/>
  <c r="N16" i="2"/>
  <c r="M16" i="2"/>
  <c r="L16" i="2"/>
  <c r="E16" i="2"/>
  <c r="D16" i="2"/>
  <c r="C16" i="2"/>
  <c r="B16" i="2"/>
  <c r="A16" i="2"/>
  <c r="O15" i="2"/>
  <c r="N15" i="2"/>
  <c r="M15" i="2"/>
  <c r="L15" i="2"/>
  <c r="E15" i="2"/>
  <c r="D15" i="2"/>
  <c r="C15" i="2"/>
  <c r="B15" i="2"/>
  <c r="A15" i="2"/>
  <c r="O14" i="2"/>
  <c r="N14" i="2"/>
  <c r="M14" i="2"/>
  <c r="L14" i="2"/>
  <c r="E14" i="2"/>
  <c r="D14" i="2"/>
  <c r="C14" i="2"/>
  <c r="B14" i="2"/>
  <c r="A14" i="2"/>
  <c r="O13" i="2"/>
  <c r="N13" i="2"/>
  <c r="M13" i="2"/>
  <c r="L13" i="2"/>
  <c r="E13" i="2"/>
  <c r="D13" i="2"/>
  <c r="C13" i="2"/>
  <c r="B13" i="2"/>
  <c r="A13" i="2"/>
  <c r="O12" i="2"/>
  <c r="N12" i="2"/>
  <c r="M12" i="2"/>
  <c r="L12" i="2"/>
  <c r="E12" i="2"/>
  <c r="D12" i="2"/>
  <c r="C12" i="2"/>
  <c r="B12" i="2"/>
  <c r="A12" i="2"/>
  <c r="O11" i="2"/>
  <c r="N11" i="2"/>
  <c r="M11" i="2"/>
  <c r="L11" i="2"/>
  <c r="E11" i="2"/>
  <c r="D11" i="2"/>
  <c r="C11" i="2"/>
  <c r="B11" i="2"/>
  <c r="A11" i="2"/>
  <c r="O10" i="2"/>
  <c r="N10" i="2"/>
  <c r="M10" i="2"/>
  <c r="L10" i="2"/>
  <c r="E10" i="2"/>
  <c r="D10" i="2"/>
  <c r="C10" i="2"/>
  <c r="B10" i="2"/>
  <c r="A10" i="2"/>
  <c r="O9" i="2"/>
  <c r="N9" i="2"/>
  <c r="M9" i="2"/>
  <c r="L9" i="2"/>
  <c r="E9" i="2"/>
  <c r="D9" i="2"/>
  <c r="C9" i="2"/>
  <c r="B9" i="2"/>
  <c r="A9" i="2"/>
  <c r="O8" i="2"/>
  <c r="N8" i="2"/>
  <c r="M8" i="2"/>
  <c r="L8" i="2"/>
  <c r="E8" i="2"/>
  <c r="D8" i="2"/>
  <c r="C8" i="2"/>
  <c r="B8" i="2"/>
  <c r="A8" i="2"/>
  <c r="O7" i="2"/>
  <c r="N7" i="2"/>
  <c r="M7" i="2"/>
  <c r="L7" i="2"/>
  <c r="E7" i="2"/>
  <c r="D7" i="2"/>
  <c r="C7" i="2"/>
  <c r="B7" i="2"/>
  <c r="A7" i="2"/>
  <c r="O6" i="2"/>
  <c r="N6" i="2"/>
  <c r="M6" i="2"/>
  <c r="L6" i="2"/>
  <c r="E6" i="2"/>
  <c r="D6" i="2"/>
  <c r="C6" i="2"/>
  <c r="B6" i="2"/>
  <c r="A6" i="2"/>
  <c r="O5" i="2"/>
  <c r="N5" i="2"/>
  <c r="M5" i="2"/>
  <c r="Q5" i="2" s="1"/>
  <c r="L5" i="2"/>
  <c r="E5" i="2"/>
  <c r="D5" i="2"/>
  <c r="C5" i="2"/>
  <c r="B5" i="2"/>
  <c r="A5" i="2"/>
  <c r="O4" i="2"/>
  <c r="N4" i="2"/>
  <c r="M4" i="2"/>
  <c r="L4" i="2"/>
  <c r="E4" i="2"/>
  <c r="D4" i="2"/>
  <c r="C4" i="2"/>
  <c r="B4" i="2"/>
  <c r="A4" i="2"/>
  <c r="O3" i="2"/>
  <c r="N3" i="2"/>
  <c r="M3" i="2"/>
  <c r="L3" i="2"/>
  <c r="E3" i="2"/>
  <c r="D3" i="2"/>
  <c r="C3" i="2"/>
  <c r="B3" i="2"/>
  <c r="A3" i="2"/>
  <c r="F17" i="2"/>
  <c r="P6" i="2"/>
  <c r="F6" i="2"/>
  <c r="P9" i="2"/>
  <c r="F14" i="2"/>
  <c r="F21" i="2"/>
  <c r="F4" i="2"/>
  <c r="P13" i="2"/>
  <c r="P20" i="2"/>
  <c r="P12" i="2"/>
  <c r="F7" i="2"/>
  <c r="P10" i="2"/>
  <c r="P17" i="2"/>
  <c r="T5" i="2"/>
  <c r="J26" i="3"/>
  <c r="J25" i="3"/>
  <c r="F11" i="2"/>
  <c r="F18" i="2"/>
  <c r="P21" i="2"/>
  <c r="F22" i="2"/>
  <c r="F8" i="2"/>
  <c r="F15" i="2"/>
  <c r="P4" i="2"/>
  <c r="P16" i="2"/>
  <c r="C25" i="3"/>
  <c r="P7" i="2"/>
  <c r="P14" i="2"/>
  <c r="F19" i="2"/>
  <c r="P22" i="2"/>
  <c r="P18" i="2"/>
  <c r="P11" i="2"/>
  <c r="P8" i="2"/>
  <c r="F10" i="2"/>
  <c r="C26" i="3"/>
  <c r="F5" i="2"/>
  <c r="F12" i="2"/>
  <c r="P15" i="2"/>
  <c r="F20" i="2"/>
  <c r="F16" i="2"/>
  <c r="F9" i="2"/>
  <c r="P19" i="2"/>
  <c r="F13" i="2"/>
  <c r="P5" i="2"/>
  <c r="G21" i="2" l="1"/>
  <c r="J21" i="2" s="1"/>
  <c r="Q22" i="2"/>
  <c r="G22" i="2"/>
  <c r="D26" i="3"/>
  <c r="D25" i="3"/>
  <c r="D28" i="3" s="1"/>
  <c r="K25" i="3"/>
  <c r="K26" i="3"/>
  <c r="Q7" i="2"/>
  <c r="T7" i="2" s="1"/>
  <c r="Q11" i="2"/>
  <c r="T11" i="2" s="1"/>
  <c r="Q13" i="2"/>
  <c r="T13" i="2" s="1"/>
  <c r="Q17" i="2"/>
  <c r="T17" i="2" s="1"/>
  <c r="G5" i="2"/>
  <c r="Q4" i="2"/>
  <c r="G12" i="2"/>
  <c r="M23" i="2"/>
  <c r="G14" i="2"/>
  <c r="Q15" i="2"/>
  <c r="T15" i="2" s="1"/>
  <c r="Q19" i="2"/>
  <c r="T19" i="2" s="1"/>
  <c r="G9" i="2"/>
  <c r="J9" i="2" s="1"/>
  <c r="G11" i="2"/>
  <c r="J11" i="2" s="1"/>
  <c r="G15" i="2"/>
  <c r="J15" i="2" s="1"/>
  <c r="G7" i="2"/>
  <c r="J7" i="2" s="1"/>
  <c r="G17" i="2"/>
  <c r="J17" i="2" s="1"/>
  <c r="Q20" i="2"/>
  <c r="S20" i="2" s="1"/>
  <c r="Q6" i="2"/>
  <c r="L23" i="2"/>
  <c r="B23" i="2"/>
  <c r="G6" i="2"/>
  <c r="G16" i="2"/>
  <c r="J16" i="2" s="1"/>
  <c r="Q16" i="2"/>
  <c r="T16" i="2" s="1"/>
  <c r="Q18" i="2"/>
  <c r="T18" i="2" s="1"/>
  <c r="G19" i="2"/>
  <c r="I19" i="2" s="1"/>
  <c r="G10" i="2"/>
  <c r="I10" i="2" s="1"/>
  <c r="Q10" i="2"/>
  <c r="S10" i="2" s="1"/>
  <c r="Q12" i="2"/>
  <c r="T12" i="2" s="1"/>
  <c r="G13" i="2"/>
  <c r="I13" i="2" s="1"/>
  <c r="G18" i="2"/>
  <c r="I18" i="2" s="1"/>
  <c r="D23" i="2"/>
  <c r="Q14" i="2"/>
  <c r="T14" i="2" s="1"/>
  <c r="C23" i="2"/>
  <c r="Q8" i="2"/>
  <c r="T8" i="2" s="1"/>
  <c r="G20" i="2"/>
  <c r="I20" i="2" s="1"/>
  <c r="S21" i="2"/>
  <c r="T21" i="2"/>
  <c r="J14" i="2"/>
  <c r="I14" i="2"/>
  <c r="T10" i="2"/>
  <c r="J13" i="2"/>
  <c r="J18" i="2"/>
  <c r="T22" i="2"/>
  <c r="S22" i="2"/>
  <c r="I12" i="2"/>
  <c r="J12" i="2"/>
  <c r="J22" i="2"/>
  <c r="I22" i="2"/>
  <c r="G4" i="2"/>
  <c r="S7" i="2"/>
  <c r="I11" i="2"/>
  <c r="S13" i="2"/>
  <c r="S19" i="2"/>
  <c r="N23" i="2"/>
  <c r="G8" i="2"/>
  <c r="I9" i="2"/>
  <c r="S11" i="2"/>
  <c r="I15" i="2"/>
  <c r="I21" i="2"/>
  <c r="Q9" i="2"/>
  <c r="S4" i="2"/>
  <c r="S5" i="2"/>
  <c r="I5" i="2"/>
  <c r="I6" i="2"/>
  <c r="T6" i="2"/>
  <c r="S6" i="2"/>
  <c r="J5" i="2"/>
  <c r="T4" i="2"/>
  <c r="S17" i="2" l="1"/>
  <c r="I7" i="2"/>
  <c r="S12" i="2"/>
  <c r="S14" i="2"/>
  <c r="J10" i="2"/>
  <c r="S16" i="2"/>
  <c r="J20" i="2"/>
  <c r="S15" i="2"/>
  <c r="T20" i="2"/>
  <c r="S8" i="2"/>
  <c r="S18" i="2"/>
  <c r="I17" i="2"/>
  <c r="K28" i="3"/>
  <c r="I16" i="2"/>
  <c r="J19" i="2"/>
  <c r="S9" i="2"/>
  <c r="T9" i="2"/>
  <c r="J8" i="2"/>
  <c r="I8" i="2"/>
  <c r="J6" i="2"/>
  <c r="I4" i="2"/>
  <c r="J4" i="2"/>
  <c r="A4" i="7" l="1"/>
  <c r="A15" i="7"/>
  <c r="A16" i="7" s="1"/>
  <c r="A14" i="7"/>
  <c r="A13" i="7"/>
  <c r="A12" i="7"/>
  <c r="A11" i="7"/>
  <c r="A9" i="7"/>
  <c r="A10" i="7" s="1"/>
  <c r="A8" i="7"/>
  <c r="A5" i="7"/>
  <c r="A6" i="7" s="1"/>
  <c r="A7" i="7" s="1"/>
  <c r="A17" i="7" l="1"/>
  <c r="J5" i="3"/>
  <c r="J4" i="3"/>
  <c r="K4" i="3" l="1"/>
  <c r="K5" i="3"/>
  <c r="A18" i="7"/>
  <c r="C17" i="3"/>
  <c r="C5" i="3"/>
  <c r="C4" i="3"/>
  <c r="D4" i="3" l="1"/>
  <c r="D5" i="3"/>
  <c r="D17" i="3"/>
  <c r="A19" i="7"/>
  <c r="P3" i="2"/>
  <c r="J21" i="3"/>
  <c r="C21" i="3"/>
  <c r="A2" i="5"/>
  <c r="C18" i="3"/>
  <c r="J20" i="3"/>
  <c r="B13" i="5"/>
  <c r="B3" i="5"/>
  <c r="B6" i="5"/>
  <c r="A1" i="5"/>
  <c r="B11" i="5"/>
  <c r="B15" i="5"/>
  <c r="A12" i="5"/>
  <c r="A14" i="5"/>
  <c r="A15" i="5"/>
  <c r="B10" i="5"/>
  <c r="B9" i="5"/>
  <c r="B1" i="5"/>
  <c r="B7" i="5"/>
  <c r="B8" i="5"/>
  <c r="A9" i="5"/>
  <c r="J17" i="3"/>
  <c r="J14" i="3"/>
  <c r="C15" i="3"/>
  <c r="A13" i="5"/>
  <c r="A3" i="5"/>
  <c r="A4" i="5"/>
  <c r="B5" i="5"/>
  <c r="A8" i="5"/>
  <c r="J13" i="3"/>
  <c r="J18" i="3"/>
  <c r="A6" i="5"/>
  <c r="B4" i="5"/>
  <c r="J15" i="3"/>
  <c r="B12" i="5"/>
  <c r="A7" i="5"/>
  <c r="C28" i="4"/>
  <c r="C14" i="3"/>
  <c r="B14" i="5"/>
  <c r="C20" i="3"/>
  <c r="A5" i="5"/>
  <c r="F3" i="2"/>
  <c r="C13" i="3"/>
  <c r="A10" i="5"/>
  <c r="C27" i="4"/>
  <c r="A11" i="5"/>
  <c r="B2" i="5"/>
  <c r="K17" i="3" l="1"/>
  <c r="D13" i="3"/>
  <c r="K15" i="3"/>
  <c r="D18" i="3"/>
  <c r="D21" i="3"/>
  <c r="K18" i="3"/>
  <c r="D15" i="3"/>
  <c r="K21" i="3"/>
  <c r="D14" i="3"/>
  <c r="K13" i="3"/>
  <c r="K14" i="3"/>
  <c r="A20" i="7"/>
  <c r="C22" i="3"/>
  <c r="J22" i="3"/>
  <c r="M3" i="3"/>
  <c r="F3" i="3"/>
  <c r="G3" i="2"/>
  <c r="Q3" i="2"/>
  <c r="I3" i="2"/>
  <c r="J3" i="2"/>
  <c r="T3" i="2"/>
  <c r="G3" i="3"/>
  <c r="N3" i="3"/>
  <c r="S3" i="2"/>
  <c r="I23" i="2" l="1"/>
  <c r="S23" i="2"/>
  <c r="A21" i="7"/>
  <c r="D19" i="3"/>
  <c r="K19" i="3"/>
  <c r="J7" i="3"/>
  <c r="J9" i="3" s="1"/>
  <c r="M4" i="3" s="1"/>
  <c r="C7" i="3"/>
  <c r="C9" i="3" s="1"/>
  <c r="F4" i="3" s="1"/>
  <c r="F5" i="3" s="1"/>
  <c r="N4" i="3"/>
  <c r="G4" i="3"/>
  <c r="G5" i="3"/>
  <c r="A22" i="7" l="1"/>
  <c r="A23" i="7" s="1"/>
  <c r="J3" i="3"/>
  <c r="M5" i="3"/>
  <c r="F6" i="3"/>
  <c r="C3" i="3"/>
  <c r="G6" i="3"/>
  <c r="N5" i="3"/>
  <c r="M6" i="3" l="1"/>
  <c r="F7" i="3"/>
  <c r="N6" i="3"/>
  <c r="G7" i="3"/>
  <c r="M7" i="3" l="1"/>
  <c r="F8" i="3"/>
  <c r="N7" i="3"/>
  <c r="G8" i="3"/>
  <c r="M8" i="3" l="1"/>
  <c r="F9" i="3"/>
  <c r="N8" i="3"/>
  <c r="G9" i="3"/>
  <c r="M9" i="3" l="1"/>
  <c r="F10" i="3"/>
  <c r="N9" i="3"/>
  <c r="G10" i="3"/>
  <c r="M10" i="3" l="1"/>
  <c r="F11" i="3"/>
  <c r="G11" i="3"/>
  <c r="N10" i="3"/>
  <c r="M11" i="3" l="1"/>
  <c r="F12" i="3"/>
  <c r="G12" i="3"/>
  <c r="N11" i="3"/>
  <c r="M12" i="3" l="1"/>
  <c r="F13" i="3"/>
  <c r="N12" i="3"/>
  <c r="G13" i="3"/>
  <c r="M13" i="3" l="1"/>
  <c r="F14" i="3"/>
  <c r="G14" i="3"/>
  <c r="N13" i="3"/>
  <c r="M14" i="3" l="1"/>
  <c r="F15" i="3"/>
  <c r="N14" i="3"/>
  <c r="G15" i="3"/>
  <c r="M15" i="3" l="1"/>
  <c r="F16" i="3"/>
  <c r="G16" i="3"/>
  <c r="N15" i="3"/>
  <c r="M16" i="3" l="1"/>
  <c r="F17" i="3"/>
  <c r="G17" i="3"/>
  <c r="N16" i="3"/>
  <c r="M17" i="3" l="1"/>
  <c r="F18" i="3"/>
  <c r="N17" i="3"/>
  <c r="G18" i="3"/>
  <c r="M18" i="3" l="1"/>
  <c r="F19" i="3"/>
  <c r="G19" i="3"/>
  <c r="N18" i="3"/>
  <c r="M19" i="3" l="1"/>
  <c r="F20" i="3"/>
  <c r="G20" i="3"/>
  <c r="N19" i="3"/>
  <c r="M20" i="3" l="1"/>
  <c r="F21" i="3"/>
  <c r="G21" i="3"/>
  <c r="N20" i="3"/>
  <c r="M21" i="3" l="1"/>
  <c r="F22" i="3"/>
  <c r="G22" i="3"/>
  <c r="N21" i="3"/>
  <c r="M22" i="3" l="1"/>
  <c r="F23" i="3"/>
  <c r="N22" i="3"/>
  <c r="G23" i="3"/>
  <c r="M23" i="3" l="1"/>
  <c r="N23" i="3"/>
</calcChain>
</file>

<file path=xl/sharedStrings.xml><?xml version="1.0" encoding="utf-8"?>
<sst xmlns="http://schemas.openxmlformats.org/spreadsheetml/2006/main" count="92" uniqueCount="46">
  <si>
    <t>Title</t>
  </si>
  <si>
    <t>Min</t>
  </si>
  <si>
    <t>Max</t>
  </si>
  <si>
    <t>ML</t>
  </si>
  <si>
    <t>R2</t>
  </si>
  <si>
    <t>Use</t>
  </si>
  <si>
    <t>Lambda</t>
  </si>
  <si>
    <t>Sample</t>
  </si>
  <si>
    <t>Range</t>
  </si>
  <si>
    <t>Steps</t>
  </si>
  <si>
    <t>Step</t>
  </si>
  <si>
    <t>Callouts</t>
  </si>
  <si>
    <t>Percentile</t>
  </si>
  <si>
    <t>Value</t>
  </si>
  <si>
    <t>Mean</t>
  </si>
  <si>
    <t>Median</t>
  </si>
  <si>
    <t>P80</t>
  </si>
  <si>
    <t>Std.Dev</t>
  </si>
  <si>
    <t>CV</t>
  </si>
  <si>
    <t>Skewness</t>
  </si>
  <si>
    <t>P80 Range</t>
  </si>
  <si>
    <t>Distribution</t>
  </si>
  <si>
    <t>Trials</t>
  </si>
  <si>
    <t>Simulation</t>
  </si>
  <si>
    <t>Time (s)</t>
  </si>
  <si>
    <t>P</t>
  </si>
  <si>
    <t>P?</t>
  </si>
  <si>
    <t>Probability</t>
  </si>
  <si>
    <t>Most Likely</t>
  </si>
  <si>
    <t>Low</t>
  </si>
  <si>
    <t>High</t>
  </si>
  <si>
    <t>Cleanup Costs</t>
  </si>
  <si>
    <t xml:space="preserve"> Risk / Revenue Item</t>
  </si>
  <si>
    <t xml:space="preserve"> Current / Expected</t>
  </si>
  <si>
    <t xml:space="preserve"> Target / Alternative</t>
  </si>
  <si>
    <t>Relocation</t>
  </si>
  <si>
    <t>Setup</t>
  </si>
  <si>
    <t>Installation</t>
  </si>
  <si>
    <t>This model requires the RiskAMP Add-in.  You can download a free trial version from our website here:</t>
  </si>
  <si>
    <t>www.riskamp.com/download</t>
  </si>
  <si>
    <t>Add up to 20 risk/revenue items with associated probabilities and distributions.  Then run a monte carlo simluation and look at the Chart tab to see distribution of outcomes.</t>
  </si>
  <si>
    <t>Note:  values in the tables and chart above are simplified to two significant digits.</t>
  </si>
  <si>
    <t>The Model tab is the actual calculation performed during the simulation.  The Data tab contains data tables used to create the chart.</t>
  </si>
  <si>
    <t>P50 Range</t>
  </si>
  <si>
    <t>P50</t>
  </si>
  <si>
    <t>2SD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</si>
</sst>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</font>
    <font>
      <u/>
      <sz val="11"/>
      <color theme="10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3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8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2" fillId="16" borderId="0" applyNumberFormat="0" applyBorder="0" applyAlignment="0" applyProtection="0"/>
    <xf numFmtId="0" fontId="2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" fillId="27" borderId="0" applyNumberFormat="0" applyBorder="0" applyAlignment="0" applyProtection="0"/>
    <xf numFmtId="0" fontId="2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2" fillId="20" borderId="0" applyNumberFormat="0" applyBorder="0" applyAlignment="0" applyProtection="0"/>
    <xf numFmtId="0" fontId="2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4" fillId="32" borderId="0" applyNumberFormat="0" applyBorder="0" applyAlignment="0" applyProtection="0"/>
    <xf numFmtId="0" fontId="5" fillId="3" borderId="0" applyNumberFormat="0" applyBorder="0" applyAlignment="0" applyProtection="0"/>
    <xf numFmtId="0" fontId="6" fillId="33" borderId="1" applyNumberFormat="0" applyAlignment="0" applyProtection="0"/>
    <xf numFmtId="0" fontId="7" fillId="34" borderId="1" applyNumberFormat="0" applyAlignment="0" applyProtection="0"/>
    <xf numFmtId="0" fontId="8" fillId="22" borderId="2" applyNumberFormat="0" applyAlignment="0" applyProtection="0"/>
    <xf numFmtId="0" fontId="8" fillId="35" borderId="2" applyNumberFormat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9" borderId="1" applyNumberFormat="0" applyAlignment="0" applyProtection="0"/>
    <xf numFmtId="0" fontId="18" fillId="7" borderId="1" applyNumberFormat="0" applyAlignment="0" applyProtection="0"/>
    <xf numFmtId="0" fontId="19" fillId="0" borderId="8" applyNumberFormat="0" applyFill="0" applyAlignment="0" applyProtection="0"/>
    <xf numFmtId="0" fontId="20" fillId="0" borderId="8" applyNumberFormat="0" applyFill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2" fillId="0" borderId="0"/>
    <xf numFmtId="0" fontId="1" fillId="0" borderId="0"/>
    <xf numFmtId="0" fontId="2" fillId="0" borderId="0"/>
    <xf numFmtId="0" fontId="2" fillId="0" borderId="0"/>
    <xf numFmtId="0" fontId="22" fillId="0" borderId="0"/>
    <xf numFmtId="0" fontId="22" fillId="20" borderId="9" applyNumberFormat="0" applyFont="0" applyAlignment="0" applyProtection="0"/>
    <xf numFmtId="0" fontId="2" fillId="41" borderId="9" applyNumberFormat="0" applyFont="0" applyAlignment="0" applyProtection="0"/>
    <xf numFmtId="0" fontId="23" fillId="33" borderId="10" applyNumberFormat="0" applyAlignment="0" applyProtection="0"/>
    <xf numFmtId="0" fontId="23" fillId="34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0" borderId="11" applyNumberFormat="0" applyFill="0" applyAlignment="0" applyProtection="0"/>
    <xf numFmtId="0" fontId="9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/>
    <xf numFmtId="165" fontId="0" fillId="0" borderId="0" xfId="182" applyNumberFormat="1" applyFont="1"/>
    <xf numFmtId="2" fontId="0" fillId="0" borderId="0" xfId="0" applyNumberFormat="1"/>
    <xf numFmtId="9" fontId="0" fillId="0" borderId="0" xfId="183" applyFont="1"/>
    <xf numFmtId="0" fontId="0" fillId="0" borderId="14" xfId="0" applyBorder="1"/>
    <xf numFmtId="0" fontId="0" fillId="0" borderId="14" xfId="0" applyBorder="1" applyAlignment="1">
      <alignment horizontal="center"/>
    </xf>
    <xf numFmtId="165" fontId="0" fillId="0" borderId="0" xfId="0" applyNumberFormat="1"/>
    <xf numFmtId="0" fontId="0" fillId="42" borderId="0" xfId="0" applyFill="1"/>
    <xf numFmtId="166" fontId="0" fillId="0" borderId="0" xfId="183" applyNumberFormat="1" applyFont="1"/>
    <xf numFmtId="0" fontId="0" fillId="42" borderId="0" xfId="0" applyFill="1" applyAlignment="1">
      <alignment horizontal="center"/>
    </xf>
    <xf numFmtId="1" fontId="0" fillId="0" borderId="0" xfId="0" applyNumberFormat="1"/>
    <xf numFmtId="0" fontId="0" fillId="0" borderId="0" xfId="0" applyBorder="1"/>
    <xf numFmtId="0" fontId="28" fillId="42" borderId="0" xfId="68" applyFont="1" applyFill="1" applyAlignment="1">
      <alignment horizontal="center"/>
    </xf>
    <xf numFmtId="0" fontId="27" fillId="43" borderId="14" xfId="0" applyFont="1" applyFill="1" applyBorder="1"/>
    <xf numFmtId="165" fontId="0" fillId="42" borderId="0" xfId="182" applyNumberFormat="1" applyFont="1" applyFill="1"/>
    <xf numFmtId="9" fontId="0" fillId="42" borderId="0" xfId="183" applyFont="1" applyFill="1" applyAlignment="1">
      <alignment horizontal="center"/>
    </xf>
    <xf numFmtId="165" fontId="0" fillId="42" borderId="15" xfId="182" applyNumberFormat="1" applyFont="1" applyFill="1" applyBorder="1"/>
    <xf numFmtId="9" fontId="0" fillId="42" borderId="15" xfId="183" applyFont="1" applyFill="1" applyBorder="1" applyAlignment="1">
      <alignment horizontal="center"/>
    </xf>
    <xf numFmtId="165" fontId="0" fillId="44" borderId="15" xfId="182" applyNumberFormat="1" applyFont="1" applyFill="1" applyBorder="1"/>
    <xf numFmtId="9" fontId="0" fillId="44" borderId="15" xfId="183" applyFont="1" applyFill="1" applyBorder="1" applyAlignment="1">
      <alignment horizontal="center"/>
    </xf>
    <xf numFmtId="0" fontId="0" fillId="44" borderId="15" xfId="0" applyFill="1" applyBorder="1" applyAlignment="1">
      <alignment horizontal="left" indent="1"/>
    </xf>
    <xf numFmtId="0" fontId="0" fillId="42" borderId="15" xfId="0" applyFill="1" applyBorder="1" applyAlignment="1">
      <alignment horizontal="left" indent="1"/>
    </xf>
    <xf numFmtId="165" fontId="0" fillId="0" borderId="13" xfId="182" applyNumberFormat="1" applyFont="1" applyBorder="1"/>
    <xf numFmtId="0" fontId="0" fillId="42" borderId="16" xfId="0" applyFill="1" applyBorder="1"/>
    <xf numFmtId="0" fontId="0" fillId="42" borderId="17" xfId="0" applyFill="1" applyBorder="1" applyAlignment="1">
      <alignment horizontal="center"/>
    </xf>
    <xf numFmtId="0" fontId="0" fillId="44" borderId="16" xfId="0" applyFill="1" applyBorder="1"/>
    <xf numFmtId="3" fontId="0" fillId="44" borderId="17" xfId="0" applyNumberFormat="1" applyFill="1" applyBorder="1" applyAlignment="1">
      <alignment horizontal="center"/>
    </xf>
    <xf numFmtId="3" fontId="0" fillId="42" borderId="17" xfId="0" applyNumberFormat="1" applyFill="1" applyBorder="1" applyAlignment="1">
      <alignment horizontal="center"/>
    </xf>
    <xf numFmtId="166" fontId="0" fillId="42" borderId="17" xfId="183" applyNumberFormat="1" applyFont="1" applyFill="1" applyBorder="1" applyAlignment="1">
      <alignment horizontal="center"/>
    </xf>
    <xf numFmtId="0" fontId="0" fillId="44" borderId="17" xfId="0" applyFill="1" applyBorder="1" applyAlignment="1">
      <alignment horizontal="center"/>
    </xf>
    <xf numFmtId="0" fontId="27" fillId="43" borderId="16" xfId="0" applyFont="1" applyFill="1" applyBorder="1"/>
    <xf numFmtId="0" fontId="27" fillId="43" borderId="17" xfId="0" applyFont="1" applyFill="1" applyBorder="1" applyAlignment="1">
      <alignment horizontal="center"/>
    </xf>
    <xf numFmtId="3" fontId="0" fillId="44" borderId="17" xfId="182" applyNumberFormat="1" applyFont="1" applyFill="1" applyBorder="1" applyAlignment="1">
      <alignment horizontal="center"/>
    </xf>
    <xf numFmtId="3" fontId="0" fillId="42" borderId="17" xfId="182" applyNumberFormat="1" applyFont="1" applyFill="1" applyBorder="1" applyAlignment="1">
      <alignment horizontal="center"/>
    </xf>
    <xf numFmtId="165" fontId="0" fillId="42" borderId="17" xfId="182" applyNumberFormat="1" applyFont="1" applyFill="1" applyBorder="1" applyAlignment="1">
      <alignment horizontal="center"/>
    </xf>
    <xf numFmtId="2" fontId="0" fillId="44" borderId="17" xfId="0" applyNumberFormat="1" applyFill="1" applyBorder="1" applyAlignment="1">
      <alignment horizontal="center"/>
    </xf>
    <xf numFmtId="0" fontId="29" fillId="42" borderId="0" xfId="184" applyFill="1" applyBorder="1"/>
    <xf numFmtId="0" fontId="0" fillId="42" borderId="0" xfId="0" applyFill="1" applyAlignment="1">
      <alignment horizontal="left" vertical="top" wrapText="1"/>
    </xf>
    <xf numFmtId="0" fontId="30" fillId="42" borderId="0" xfId="0" applyFont="1" applyFill="1"/>
    <xf numFmtId="0" fontId="0" fillId="42" borderId="0" xfId="0" applyFill="1" applyAlignment="1">
      <alignment horizontal="left"/>
    </xf>
    <xf numFmtId="0" fontId="0" fillId="42" borderId="0" xfId="0" applyFill="1" applyAlignment="1">
      <alignment horizontal="left" vertical="top" wrapText="1"/>
    </xf>
  </cellXfs>
  <cellStyles count="18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- 20%" xfId="19"/>
    <cellStyle name="Accent1 - 40%" xfId="20"/>
    <cellStyle name="Accent1 - 60%" xfId="21"/>
    <cellStyle name="Accent1 10" xfId="22"/>
    <cellStyle name="Accent1 11" xfId="23"/>
    <cellStyle name="Accent1 12" xfId="24"/>
    <cellStyle name="Accent1 13" xfId="25"/>
    <cellStyle name="Accent1 14" xfId="26"/>
    <cellStyle name="Accent1 15" xfId="27"/>
    <cellStyle name="Accent1 16" xfId="28"/>
    <cellStyle name="Accent1 17" xfId="29"/>
    <cellStyle name="Accent1 18" xfId="30"/>
    <cellStyle name="Accent1 2" xfId="31"/>
    <cellStyle name="Accent1 3" xfId="32"/>
    <cellStyle name="Accent1 4" xfId="33"/>
    <cellStyle name="Accent1 5" xfId="34"/>
    <cellStyle name="Accent1 6" xfId="35"/>
    <cellStyle name="Accent1 7" xfId="36"/>
    <cellStyle name="Accent1 8" xfId="37"/>
    <cellStyle name="Accent1 9" xfId="38"/>
    <cellStyle name="Accent2 - 20%" xfId="39"/>
    <cellStyle name="Accent2 - 40%" xfId="40"/>
    <cellStyle name="Accent2 - 60%" xfId="41"/>
    <cellStyle name="Accent2 10" xfId="42"/>
    <cellStyle name="Accent2 11" xfId="43"/>
    <cellStyle name="Accent2 12" xfId="44"/>
    <cellStyle name="Accent2 13" xfId="45"/>
    <cellStyle name="Accent2 14" xfId="46"/>
    <cellStyle name="Accent2 15" xfId="47"/>
    <cellStyle name="Accent2 16" xfId="48"/>
    <cellStyle name="Accent2 17" xfId="49"/>
    <cellStyle name="Accent2 18" xfId="50"/>
    <cellStyle name="Accent2 2" xfId="51"/>
    <cellStyle name="Accent2 3" xfId="52"/>
    <cellStyle name="Accent2 4" xfId="53"/>
    <cellStyle name="Accent2 5" xfId="54"/>
    <cellStyle name="Accent2 6" xfId="55"/>
    <cellStyle name="Accent2 7" xfId="56"/>
    <cellStyle name="Accent2 8" xfId="57"/>
    <cellStyle name="Accent2 9" xfId="58"/>
    <cellStyle name="Accent3 - 20%" xfId="59"/>
    <cellStyle name="Accent3 - 40%" xfId="60"/>
    <cellStyle name="Accent3 - 60%" xfId="61"/>
    <cellStyle name="Accent3 10" xfId="62"/>
    <cellStyle name="Accent3 11" xfId="63"/>
    <cellStyle name="Accent3 12" xfId="64"/>
    <cellStyle name="Accent3 13" xfId="65"/>
    <cellStyle name="Accent3 14" xfId="66"/>
    <cellStyle name="Accent3 15" xfId="67"/>
    <cellStyle name="Accent3 16" xfId="68"/>
    <cellStyle name="Accent3 17" xfId="69"/>
    <cellStyle name="Accent3 18" xfId="70"/>
    <cellStyle name="Accent3 2" xfId="71"/>
    <cellStyle name="Accent3 3" xfId="72"/>
    <cellStyle name="Accent3 4" xfId="73"/>
    <cellStyle name="Accent3 5" xfId="74"/>
    <cellStyle name="Accent3 6" xfId="75"/>
    <cellStyle name="Accent3 7" xfId="76"/>
    <cellStyle name="Accent3 8" xfId="77"/>
    <cellStyle name="Accent3 9" xfId="78"/>
    <cellStyle name="Accent4 - 20%" xfId="79"/>
    <cellStyle name="Accent4 - 40%" xfId="80"/>
    <cellStyle name="Accent4 - 60%" xfId="81"/>
    <cellStyle name="Accent4 10" xfId="82"/>
    <cellStyle name="Accent4 11" xfId="83"/>
    <cellStyle name="Accent4 12" xfId="84"/>
    <cellStyle name="Accent4 13" xfId="85"/>
    <cellStyle name="Accent4 14" xfId="86"/>
    <cellStyle name="Accent4 15" xfId="87"/>
    <cellStyle name="Accent4 16" xfId="88"/>
    <cellStyle name="Accent4 17" xfId="89"/>
    <cellStyle name="Accent4 18" xfId="90"/>
    <cellStyle name="Accent4 2" xfId="91"/>
    <cellStyle name="Accent4 3" xfId="92"/>
    <cellStyle name="Accent4 4" xfId="93"/>
    <cellStyle name="Accent4 5" xfId="94"/>
    <cellStyle name="Accent4 6" xfId="95"/>
    <cellStyle name="Accent4 7" xfId="96"/>
    <cellStyle name="Accent4 8" xfId="97"/>
    <cellStyle name="Accent4 9" xfId="98"/>
    <cellStyle name="Accent5 - 20%" xfId="99"/>
    <cellStyle name="Accent5 - 40%" xfId="100"/>
    <cellStyle name="Accent5 - 60%" xfId="101"/>
    <cellStyle name="Accent5 10" xfId="102"/>
    <cellStyle name="Accent5 11" xfId="103"/>
    <cellStyle name="Accent5 12" xfId="104"/>
    <cellStyle name="Accent5 13" xfId="105"/>
    <cellStyle name="Accent5 14" xfId="106"/>
    <cellStyle name="Accent5 15" xfId="107"/>
    <cellStyle name="Accent5 16" xfId="108"/>
    <cellStyle name="Accent5 17" xfId="109"/>
    <cellStyle name="Accent5 18" xfId="110"/>
    <cellStyle name="Accent5 2" xfId="111"/>
    <cellStyle name="Accent5 3" xfId="112"/>
    <cellStyle name="Accent5 4" xfId="113"/>
    <cellStyle name="Accent5 5" xfId="114"/>
    <cellStyle name="Accent5 6" xfId="115"/>
    <cellStyle name="Accent5 7" xfId="116"/>
    <cellStyle name="Accent5 8" xfId="117"/>
    <cellStyle name="Accent5 9" xfId="118"/>
    <cellStyle name="Accent6 - 20%" xfId="119"/>
    <cellStyle name="Accent6 - 40%" xfId="120"/>
    <cellStyle name="Accent6 - 60%" xfId="121"/>
    <cellStyle name="Accent6 10" xfId="122"/>
    <cellStyle name="Accent6 11" xfId="123"/>
    <cellStyle name="Accent6 12" xfId="124"/>
    <cellStyle name="Accent6 13" xfId="125"/>
    <cellStyle name="Accent6 14" xfId="126"/>
    <cellStyle name="Accent6 15" xfId="127"/>
    <cellStyle name="Accent6 16" xfId="128"/>
    <cellStyle name="Accent6 17" xfId="129"/>
    <cellStyle name="Accent6 18" xfId="130"/>
    <cellStyle name="Accent6 2" xfId="131"/>
    <cellStyle name="Accent6 3" xfId="132"/>
    <cellStyle name="Accent6 4" xfId="133"/>
    <cellStyle name="Accent6 5" xfId="134"/>
    <cellStyle name="Accent6 6" xfId="135"/>
    <cellStyle name="Accent6 7" xfId="136"/>
    <cellStyle name="Accent6 8" xfId="137"/>
    <cellStyle name="Accent6 9" xfId="138"/>
    <cellStyle name="Bad 2" xfId="139"/>
    <cellStyle name="Bad 3" xfId="140"/>
    <cellStyle name="Calculation 2" xfId="141"/>
    <cellStyle name="Calculation 3" xfId="142"/>
    <cellStyle name="Check Cell 2" xfId="143"/>
    <cellStyle name="Check Cell 3" xfId="144"/>
    <cellStyle name="Comma" xfId="182" builtinId="3"/>
    <cellStyle name="Comma 2" xfId="145"/>
    <cellStyle name="Currency 2" xfId="146"/>
    <cellStyle name="Emphasis 1" xfId="147"/>
    <cellStyle name="Emphasis 2" xfId="148"/>
    <cellStyle name="Emphasis 3" xfId="149"/>
    <cellStyle name="Explanatory Text 2" xfId="150"/>
    <cellStyle name="Good 2" xfId="151"/>
    <cellStyle name="Good 3" xfId="152"/>
    <cellStyle name="Heading 1 2" xfId="153"/>
    <cellStyle name="Heading 1 3" xfId="154"/>
    <cellStyle name="Heading 2 2" xfId="155"/>
    <cellStyle name="Heading 2 3" xfId="156"/>
    <cellStyle name="Heading 3 2" xfId="157"/>
    <cellStyle name="Heading 3 3" xfId="158"/>
    <cellStyle name="Heading 4 2" xfId="159"/>
    <cellStyle name="Heading 4 3" xfId="160"/>
    <cellStyle name="Hyperlink" xfId="184" builtinId="8"/>
    <cellStyle name="Input 2" xfId="161"/>
    <cellStyle name="Input 3" xfId="162"/>
    <cellStyle name="Linked Cell 2" xfId="163"/>
    <cellStyle name="Linked Cell 3" xfId="164"/>
    <cellStyle name="Neutral 2" xfId="165"/>
    <cellStyle name="Neutral 3" xfId="166"/>
    <cellStyle name="Normal" xfId="0" builtinId="0"/>
    <cellStyle name="Normal 2" xfId="167"/>
    <cellStyle name="Normal 3" xfId="168"/>
    <cellStyle name="Normal 4" xfId="169"/>
    <cellStyle name="Normal 5" xfId="170"/>
    <cellStyle name="Normal 6" xfId="171"/>
    <cellStyle name="Note 2" xfId="172"/>
    <cellStyle name="Note 3" xfId="173"/>
    <cellStyle name="Output 2" xfId="174"/>
    <cellStyle name="Output 3" xfId="175"/>
    <cellStyle name="Percent" xfId="183" builtinId="5"/>
    <cellStyle name="Sheet Title" xfId="176"/>
    <cellStyle name="Title 2" xfId="177"/>
    <cellStyle name="Total 2" xfId="178"/>
    <cellStyle name="Total 3" xfId="179"/>
    <cellStyle name="Warning Text 2" xfId="180"/>
    <cellStyle name="Warning Text 3" xfId="1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4"/>
          <c:order val="0"/>
          <c:tx>
            <c:strRef>
              <c:f>Data!$I$1</c:f>
              <c:strCache>
                <c:ptCount val="1"/>
                <c:pt idx="0">
                  <c:v> Target / Alternative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Data!$M$3:$M$23</c:f>
              <c:numCache>
                <c:formatCode>_(* #,##0_);_(* \(#,##0\);_(* "-"??_);_(@_)</c:formatCode>
                <c:ptCount val="21"/>
                <c:pt idx="0">
                  <c:v>0</c:v>
                </c:pt>
                <c:pt idx="1">
                  <c:v>35000</c:v>
                </c:pt>
                <c:pt idx="2">
                  <c:v>70000</c:v>
                </c:pt>
                <c:pt idx="3">
                  <c:v>105000</c:v>
                </c:pt>
                <c:pt idx="4">
                  <c:v>140000</c:v>
                </c:pt>
                <c:pt idx="5">
                  <c:v>175000</c:v>
                </c:pt>
                <c:pt idx="6">
                  <c:v>210000</c:v>
                </c:pt>
                <c:pt idx="7">
                  <c:v>245000</c:v>
                </c:pt>
                <c:pt idx="8">
                  <c:v>280000</c:v>
                </c:pt>
                <c:pt idx="9">
                  <c:v>315000</c:v>
                </c:pt>
                <c:pt idx="10">
                  <c:v>350000</c:v>
                </c:pt>
                <c:pt idx="11">
                  <c:v>385000</c:v>
                </c:pt>
                <c:pt idx="12">
                  <c:v>420000</c:v>
                </c:pt>
                <c:pt idx="13">
                  <c:v>455000</c:v>
                </c:pt>
                <c:pt idx="14">
                  <c:v>490000</c:v>
                </c:pt>
                <c:pt idx="15">
                  <c:v>525000</c:v>
                </c:pt>
                <c:pt idx="16">
                  <c:v>560000</c:v>
                </c:pt>
                <c:pt idx="17">
                  <c:v>595000</c:v>
                </c:pt>
                <c:pt idx="18">
                  <c:v>630000</c:v>
                </c:pt>
                <c:pt idx="19">
                  <c:v>665000</c:v>
                </c:pt>
                <c:pt idx="20">
                  <c:v>700000</c:v>
                </c:pt>
              </c:numCache>
            </c:numRef>
          </c:xVal>
          <c:yVal>
            <c:numRef>
              <c:f>Data!$N$3:$N$23</c:f>
              <c:numCache>
                <c:formatCode>0%</c:formatCode>
                <c:ptCount val="21"/>
                <c:pt idx="0">
                  <c:v>7.2999999999999995E-2</c:v>
                </c:pt>
                <c:pt idx="1">
                  <c:v>7.2999999999999995E-2</c:v>
                </c:pt>
                <c:pt idx="2">
                  <c:v>0.112</c:v>
                </c:pt>
                <c:pt idx="3">
                  <c:v>0.22</c:v>
                </c:pt>
                <c:pt idx="4">
                  <c:v>0.26100000000000001</c:v>
                </c:pt>
                <c:pt idx="5">
                  <c:v>0.316</c:v>
                </c:pt>
                <c:pt idx="6">
                  <c:v>0.40699999999999997</c:v>
                </c:pt>
                <c:pt idx="7">
                  <c:v>0.55200000000000005</c:v>
                </c:pt>
                <c:pt idx="8">
                  <c:v>0.63900000000000001</c:v>
                </c:pt>
                <c:pt idx="9">
                  <c:v>0.68700000000000006</c:v>
                </c:pt>
                <c:pt idx="10">
                  <c:v>0.73499999999999999</c:v>
                </c:pt>
                <c:pt idx="11">
                  <c:v>0.80500000000000005</c:v>
                </c:pt>
                <c:pt idx="12">
                  <c:v>0.86499999999999999</c:v>
                </c:pt>
                <c:pt idx="13">
                  <c:v>0.91100000000000003</c:v>
                </c:pt>
                <c:pt idx="14">
                  <c:v>0.93500000000000005</c:v>
                </c:pt>
                <c:pt idx="15">
                  <c:v>0.95699999999999996</c:v>
                </c:pt>
                <c:pt idx="16">
                  <c:v>0.96599999999999997</c:v>
                </c:pt>
                <c:pt idx="17">
                  <c:v>0.98</c:v>
                </c:pt>
                <c:pt idx="18">
                  <c:v>0.99</c:v>
                </c:pt>
                <c:pt idx="19">
                  <c:v>0.995</c:v>
                </c:pt>
                <c:pt idx="20">
                  <c:v>0.999</c:v>
                </c:pt>
              </c:numCache>
            </c:numRef>
          </c:yVal>
          <c:smooth val="1"/>
        </c:ser>
        <c:ser>
          <c:idx val="5"/>
          <c:order val="1"/>
          <c:tx>
            <c:strRef>
              <c:f>Data!$I$13</c:f>
              <c:strCache>
                <c:ptCount val="1"/>
                <c:pt idx="0">
                  <c:v>10%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EDD65394-9F26-4A91-8820-7AEA4B4D5E4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@ </a:t>
                    </a:r>
                    <a:fld id="{DCA582E4-C7D0-4F15-A216-834B7BC6B8DD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@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>
                <a:outerShdw blurRad="50800" dist="38100" dir="5400000" algn="t" rotWithShape="0">
                  <a:prstClr val="black">
                    <a:alpha val="2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@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DataLabelsRange val="1"/>
                <c15:showLeaderLines val="0"/>
              </c:ext>
            </c:extLst>
          </c:dLbls>
          <c:xVal>
            <c:numRef>
              <c:f>Data!$J$13</c:f>
              <c:numCache>
                <c:formatCode>_(* #,##0_);_(* \(#,##0\);_(* "-"??_);_(@_)</c:formatCode>
                <c:ptCount val="1"/>
                <c:pt idx="0">
                  <c:v>68166.554362028881</c:v>
                </c:pt>
              </c:numCache>
            </c:numRef>
          </c:xVal>
          <c:yVal>
            <c:numRef>
              <c:f>Data!$I$13</c:f>
              <c:numCache>
                <c:formatCode>0%</c:formatCode>
                <c:ptCount val="1"/>
                <c:pt idx="0">
                  <c:v>0.1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Data!$K$13</c15:f>
                <c15:dlblRangeCache>
                  <c:ptCount val="1"/>
                  <c:pt idx="0">
                    <c:v> 68,000 </c:v>
                  </c:pt>
                </c15:dlblRangeCache>
              </c15:datalabelsRange>
            </c:ext>
          </c:extLst>
        </c:ser>
        <c:ser>
          <c:idx val="6"/>
          <c:order val="2"/>
          <c:tx>
            <c:strRef>
              <c:f>Data!$I$14</c:f>
              <c:strCache>
                <c:ptCount val="1"/>
                <c:pt idx="0">
                  <c:v>50%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7DA259D6-2126-454E-92A2-01E56655BBD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@ </a:t>
                    </a:r>
                    <a:fld id="{50D73EA0-EF1B-46C3-AE51-BEE9CAC4BE32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@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>
                <a:outerShdw blurRad="50800" dist="38100" dir="5400000" algn="t" rotWithShape="0">
                  <a:prstClr val="black">
                    <a:alpha val="2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@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DataLabelsRange val="1"/>
                <c15:showLeaderLines val="0"/>
              </c:ext>
            </c:extLst>
          </c:dLbls>
          <c:xVal>
            <c:numRef>
              <c:f>Data!$J$14</c:f>
              <c:numCache>
                <c:formatCode>_(* #,##0_);_(* \(#,##0\);_(* "-"??_);_(@_)</c:formatCode>
                <c:ptCount val="1"/>
                <c:pt idx="0">
                  <c:v>232474.68866801093</c:v>
                </c:pt>
              </c:numCache>
            </c:numRef>
          </c:xVal>
          <c:yVal>
            <c:numRef>
              <c:f>Data!$I$14</c:f>
              <c:numCache>
                <c:formatCode>0%</c:formatCode>
                <c:ptCount val="1"/>
                <c:pt idx="0">
                  <c:v>0.5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Data!$K$14</c15:f>
                <c15:dlblRangeCache>
                  <c:ptCount val="1"/>
                  <c:pt idx="0">
                    <c:v> 230,000 </c:v>
                  </c:pt>
                </c15:dlblRangeCache>
              </c15:datalabelsRange>
            </c:ext>
          </c:extLst>
        </c:ser>
        <c:ser>
          <c:idx val="7"/>
          <c:order val="3"/>
          <c:tx>
            <c:strRef>
              <c:f>Data!$I$15</c:f>
              <c:strCache>
                <c:ptCount val="1"/>
                <c:pt idx="0">
                  <c:v>90%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1071B683-8280-403E-B6E6-1DEED4A3D75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@ </a:t>
                    </a:r>
                    <a:fld id="{4FC42075-916C-4BA7-B7DC-21D0AABF5D94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@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>
                <a:outerShdw blurRad="50800" dist="38100" dir="5400000" algn="t" rotWithShape="0">
                  <a:prstClr val="black">
                    <a:alpha val="2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@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DataLabelsRange val="1"/>
                <c15:showLeaderLines val="0"/>
              </c:ext>
            </c:extLst>
          </c:dLbls>
          <c:xVal>
            <c:numRef>
              <c:f>Data!$J$15</c:f>
              <c:numCache>
                <c:formatCode>_(* #,##0_);_(* \(#,##0\);_(* "-"??_);_(@_)</c:formatCode>
                <c:ptCount val="1"/>
                <c:pt idx="0">
                  <c:v>445836.85659247381</c:v>
                </c:pt>
              </c:numCache>
            </c:numRef>
          </c:xVal>
          <c:yVal>
            <c:numRef>
              <c:f>Data!$I$15</c:f>
              <c:numCache>
                <c:formatCode>0%</c:formatCode>
                <c:ptCount val="1"/>
                <c:pt idx="0">
                  <c:v>0.9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Data!$K$15</c15:f>
                <c15:dlblRangeCache>
                  <c:ptCount val="1"/>
                  <c:pt idx="0">
                    <c:v> 450,000 </c:v>
                  </c:pt>
                </c15:dlblRangeCache>
              </c15:datalabelsRange>
            </c:ext>
          </c:extLst>
        </c:ser>
        <c:ser>
          <c:idx val="0"/>
          <c:order val="4"/>
          <c:tx>
            <c:strRef>
              <c:f>Data!$B$1</c:f>
              <c:strCache>
                <c:ptCount val="1"/>
                <c:pt idx="0">
                  <c:v> Current / Expected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Data!$F$3:$F$23</c:f>
              <c:numCache>
                <c:formatCode>_(* #,##0_);_(* \(#,##0\);_(* "-"??_);_(@_)</c:formatCode>
                <c:ptCount val="21"/>
                <c:pt idx="0">
                  <c:v>0</c:v>
                </c:pt>
                <c:pt idx="1">
                  <c:v>75000</c:v>
                </c:pt>
                <c:pt idx="2">
                  <c:v>150000</c:v>
                </c:pt>
                <c:pt idx="3">
                  <c:v>225000</c:v>
                </c:pt>
                <c:pt idx="4">
                  <c:v>300000</c:v>
                </c:pt>
                <c:pt idx="5">
                  <c:v>375000</c:v>
                </c:pt>
                <c:pt idx="6">
                  <c:v>450000</c:v>
                </c:pt>
                <c:pt idx="7">
                  <c:v>525000</c:v>
                </c:pt>
                <c:pt idx="8">
                  <c:v>600000</c:v>
                </c:pt>
                <c:pt idx="9">
                  <c:v>675000</c:v>
                </c:pt>
                <c:pt idx="10">
                  <c:v>750000</c:v>
                </c:pt>
                <c:pt idx="11">
                  <c:v>825000</c:v>
                </c:pt>
                <c:pt idx="12">
                  <c:v>900000</c:v>
                </c:pt>
                <c:pt idx="13">
                  <c:v>975000</c:v>
                </c:pt>
                <c:pt idx="14">
                  <c:v>1050000</c:v>
                </c:pt>
                <c:pt idx="15">
                  <c:v>1125000</c:v>
                </c:pt>
                <c:pt idx="16">
                  <c:v>1200000</c:v>
                </c:pt>
                <c:pt idx="17">
                  <c:v>1275000</c:v>
                </c:pt>
                <c:pt idx="18">
                  <c:v>1350000</c:v>
                </c:pt>
                <c:pt idx="19">
                  <c:v>1425000</c:v>
                </c:pt>
                <c:pt idx="20">
                  <c:v>1500000</c:v>
                </c:pt>
              </c:numCache>
            </c:numRef>
          </c:xVal>
          <c:yVal>
            <c:numRef>
              <c:f>Data!$G$3:$G$23</c:f>
              <c:numCache>
                <c:formatCode>0%</c:formatCode>
                <c:ptCount val="21"/>
                <c:pt idx="0">
                  <c:v>1.4E-2</c:v>
                </c:pt>
                <c:pt idx="1">
                  <c:v>1.4E-2</c:v>
                </c:pt>
                <c:pt idx="2">
                  <c:v>6.2E-2</c:v>
                </c:pt>
                <c:pt idx="3">
                  <c:v>6.3E-2</c:v>
                </c:pt>
                <c:pt idx="4">
                  <c:v>0.09</c:v>
                </c:pt>
                <c:pt idx="5">
                  <c:v>0.17100000000000001</c:v>
                </c:pt>
                <c:pt idx="6">
                  <c:v>0.29599999999999999</c:v>
                </c:pt>
                <c:pt idx="7">
                  <c:v>0.33300000000000002</c:v>
                </c:pt>
                <c:pt idx="8">
                  <c:v>0.38</c:v>
                </c:pt>
                <c:pt idx="9">
                  <c:v>0.47199999999999998</c:v>
                </c:pt>
                <c:pt idx="10">
                  <c:v>0.59699999999999998</c:v>
                </c:pt>
                <c:pt idx="11">
                  <c:v>0.66200000000000003</c:v>
                </c:pt>
                <c:pt idx="12">
                  <c:v>0.71899999999999997</c:v>
                </c:pt>
                <c:pt idx="13">
                  <c:v>0.77300000000000002</c:v>
                </c:pt>
                <c:pt idx="14">
                  <c:v>0.83499999999999996</c:v>
                </c:pt>
                <c:pt idx="15">
                  <c:v>0.89</c:v>
                </c:pt>
                <c:pt idx="16">
                  <c:v>0.93200000000000005</c:v>
                </c:pt>
                <c:pt idx="17">
                  <c:v>0.96699999999999997</c:v>
                </c:pt>
                <c:pt idx="18">
                  <c:v>0.98799999999999999</c:v>
                </c:pt>
                <c:pt idx="19">
                  <c:v>0.999</c:v>
                </c:pt>
                <c:pt idx="20">
                  <c:v>1</c:v>
                </c:pt>
              </c:numCache>
            </c:numRef>
          </c:yVal>
          <c:smooth val="1"/>
        </c:ser>
        <c:ser>
          <c:idx val="1"/>
          <c:order val="5"/>
          <c:tx>
            <c:strRef>
              <c:f>Data!$B$13</c:f>
              <c:strCache>
                <c:ptCount val="1"/>
                <c:pt idx="0">
                  <c:v>10%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1D1A2449-3DB6-4ED8-9FF9-89DB634886B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@ </a:t>
                    </a:r>
                    <a:fld id="{216AED9C-596A-40CC-AE80-5E370F5B08C0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@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>
                <a:outerShdw blurRad="50800" dist="38100" dir="5400000" algn="t" rotWithShape="0">
                  <a:prstClr val="black">
                    <a:alpha val="2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@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DataLabelsRange val="1"/>
                <c15:showLeaderLines val="0"/>
              </c:ext>
            </c:extLst>
          </c:dLbls>
          <c:xVal>
            <c:numRef>
              <c:f>Data!$C$13</c:f>
              <c:numCache>
                <c:formatCode>_(* #,##0_);_(* \(#,##0\);_(* "-"??_);_(@_)</c:formatCode>
                <c:ptCount val="1"/>
                <c:pt idx="0">
                  <c:v>308012.77565899387</c:v>
                </c:pt>
              </c:numCache>
            </c:numRef>
          </c:xVal>
          <c:yVal>
            <c:numRef>
              <c:f>Data!$B$13</c:f>
              <c:numCache>
                <c:formatCode>0%</c:formatCode>
                <c:ptCount val="1"/>
                <c:pt idx="0">
                  <c:v>0.1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Data!$D$13</c15:f>
                <c15:dlblRangeCache>
                  <c:ptCount val="1"/>
                  <c:pt idx="0">
                    <c:v> 310,000 </c:v>
                  </c:pt>
                </c15:dlblRangeCache>
              </c15:datalabelsRange>
            </c:ext>
          </c:extLst>
        </c:ser>
        <c:ser>
          <c:idx val="2"/>
          <c:order val="6"/>
          <c:tx>
            <c:strRef>
              <c:f>Data!$B$14</c:f>
              <c:strCache>
                <c:ptCount val="1"/>
                <c:pt idx="0">
                  <c:v>50%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DF965BCF-420B-4789-ACF7-8E674413FEF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@ </a:t>
                    </a:r>
                    <a:fld id="{51E2A41B-7CA3-4954-904E-517A4369E029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@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>
                <a:outerShdw blurRad="50800" dist="38100" dir="5400000" algn="t" rotWithShape="0">
                  <a:prstClr val="black">
                    <a:alpha val="2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@ ,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Data!$C$14</c:f>
              <c:numCache>
                <c:formatCode>_(* #,##0_);_(* \(#,##0\);_(* "-"??_);_(@_)</c:formatCode>
                <c:ptCount val="1"/>
                <c:pt idx="0">
                  <c:v>691284.09769062151</c:v>
                </c:pt>
              </c:numCache>
            </c:numRef>
          </c:xVal>
          <c:yVal>
            <c:numRef>
              <c:f>Data!$B$14</c:f>
              <c:numCache>
                <c:formatCode>0%</c:formatCode>
                <c:ptCount val="1"/>
                <c:pt idx="0">
                  <c:v>0.5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Data!$D$14</c15:f>
                <c15:dlblRangeCache>
                  <c:ptCount val="1"/>
                  <c:pt idx="0">
                    <c:v> 690,000 </c:v>
                  </c:pt>
                </c15:dlblRangeCache>
              </c15:datalabelsRange>
            </c:ext>
          </c:extLst>
        </c:ser>
        <c:ser>
          <c:idx val="3"/>
          <c:order val="7"/>
          <c:tx>
            <c:strRef>
              <c:f>Data!$B$15</c:f>
              <c:strCache>
                <c:ptCount val="1"/>
                <c:pt idx="0">
                  <c:v>90%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86F8E9FE-3FB0-4654-93C6-7E1AE76A337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@ </a:t>
                    </a:r>
                    <a:fld id="{6D43CE82-2863-4397-BC60-5E4C8533196E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@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>
                <a:outerShdw blurRad="50800" dist="38100" dir="5400000" algn="t" rotWithShape="0">
                  <a:prstClr val="black">
                    <a:alpha val="2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@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DataLabelsRange val="1"/>
                <c15:showLeaderLines val="0"/>
              </c:ext>
            </c:extLst>
          </c:dLbls>
          <c:xVal>
            <c:numRef>
              <c:f>Data!$C$15</c:f>
              <c:numCache>
                <c:formatCode>_(* #,##0_);_(* \(#,##0\);_(* "-"??_);_(@_)</c:formatCode>
                <c:ptCount val="1"/>
                <c:pt idx="0">
                  <c:v>1145552.4223250684</c:v>
                </c:pt>
              </c:numCache>
            </c:numRef>
          </c:xVal>
          <c:yVal>
            <c:numRef>
              <c:f>Data!$B$15</c:f>
              <c:numCache>
                <c:formatCode>0%</c:formatCode>
                <c:ptCount val="1"/>
                <c:pt idx="0">
                  <c:v>0.9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Data!$D$15</c15:f>
                <c15:dlblRangeCache>
                  <c:ptCount val="1"/>
                  <c:pt idx="0">
                    <c:v> 1,100,000 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063088"/>
        <c:axId val="458064656"/>
      </c:scatterChart>
      <c:valAx>
        <c:axId val="45806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Value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064656"/>
        <c:crosses val="autoZero"/>
        <c:crossBetween val="midCat"/>
      </c:valAx>
      <c:valAx>
        <c:axId val="45806465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Confidence Level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063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1</xdr:row>
      <xdr:rowOff>104775</xdr:rowOff>
    </xdr:from>
    <xdr:to>
      <xdr:col>17</xdr:col>
      <xdr:colOff>485775</xdr:colOff>
      <xdr:row>27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iskamp.com/download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tabSelected="1" workbookViewId="0">
      <selection activeCell="B35" sqref="B35"/>
    </sheetView>
  </sheetViews>
  <sheetFormatPr defaultRowHeight="15" x14ac:dyDescent="0.25"/>
  <cols>
    <col min="1" max="1" width="9.140625" style="16" customWidth="1"/>
    <col min="2" max="2" width="37.42578125" style="9" customWidth="1"/>
    <col min="3" max="3" width="3.7109375" style="9" customWidth="1"/>
    <col min="4" max="7" width="13.28515625" style="9" customWidth="1"/>
    <col min="8" max="8" width="3.7109375" style="9" customWidth="1"/>
    <col min="9" max="12" width="13.28515625" style="9" customWidth="1"/>
    <col min="13" max="16384" width="9.140625" style="9"/>
  </cols>
  <sheetData>
    <row r="2" spans="1:12" x14ac:dyDescent="0.25">
      <c r="B2" s="15" t="s">
        <v>32</v>
      </c>
      <c r="D2" s="15" t="s">
        <v>33</v>
      </c>
      <c r="E2" s="15"/>
      <c r="F2" s="15"/>
      <c r="G2" s="15"/>
      <c r="I2" s="15" t="s">
        <v>34</v>
      </c>
      <c r="J2" s="15"/>
      <c r="K2" s="15"/>
      <c r="L2" s="15"/>
    </row>
    <row r="3" spans="1:12" x14ac:dyDescent="0.25">
      <c r="D3" s="14" t="s">
        <v>27</v>
      </c>
      <c r="E3" s="14" t="s">
        <v>29</v>
      </c>
      <c r="F3" s="14" t="s">
        <v>28</v>
      </c>
      <c r="G3" s="14" t="s">
        <v>30</v>
      </c>
      <c r="I3" s="14" t="s">
        <v>27</v>
      </c>
      <c r="J3" s="14" t="s">
        <v>29</v>
      </c>
      <c r="K3" s="14" t="s">
        <v>28</v>
      </c>
      <c r="L3" s="14" t="s">
        <v>30</v>
      </c>
    </row>
    <row r="4" spans="1:12" x14ac:dyDescent="0.25">
      <c r="A4" s="16">
        <f>IF(B4="","",1)</f>
        <v>1</v>
      </c>
      <c r="B4" s="22" t="s">
        <v>31</v>
      </c>
      <c r="D4" s="21">
        <v>0.5</v>
      </c>
      <c r="E4" s="20">
        <v>270000</v>
      </c>
      <c r="F4" s="20">
        <v>450000</v>
      </c>
      <c r="G4" s="20">
        <v>775000</v>
      </c>
      <c r="I4" s="21">
        <v>0.25</v>
      </c>
      <c r="J4" s="20">
        <v>100000</v>
      </c>
      <c r="K4" s="20">
        <v>220000</v>
      </c>
      <c r="L4" s="20">
        <v>350000</v>
      </c>
    </row>
    <row r="5" spans="1:12" x14ac:dyDescent="0.25">
      <c r="A5" s="16">
        <f>IF(B5="","",MAX(A$4:A4)+1)</f>
        <v>2</v>
      </c>
      <c r="B5" s="23" t="s">
        <v>35</v>
      </c>
      <c r="D5" s="19">
        <v>0.7</v>
      </c>
      <c r="E5" s="18">
        <v>200000</v>
      </c>
      <c r="F5" s="18">
        <v>300000</v>
      </c>
      <c r="G5" s="18">
        <v>400000</v>
      </c>
      <c r="I5" s="19">
        <v>0.4</v>
      </c>
      <c r="J5" s="18">
        <v>100000</v>
      </c>
      <c r="K5" s="18">
        <v>150000</v>
      </c>
      <c r="L5" s="18">
        <v>220000</v>
      </c>
    </row>
    <row r="6" spans="1:12" x14ac:dyDescent="0.25">
      <c r="A6" s="16">
        <f>IF(B6="","",MAX(A$4:A5)+1)</f>
        <v>3</v>
      </c>
      <c r="B6" s="22" t="s">
        <v>36</v>
      </c>
      <c r="D6" s="21">
        <v>0.6</v>
      </c>
      <c r="E6" s="20">
        <v>200000</v>
      </c>
      <c r="F6" s="20">
        <v>300000</v>
      </c>
      <c r="G6" s="20">
        <v>400000</v>
      </c>
      <c r="I6" s="21">
        <v>0.5</v>
      </c>
      <c r="J6" s="20">
        <v>100000</v>
      </c>
      <c r="K6" s="20">
        <v>150000</v>
      </c>
      <c r="L6" s="20">
        <v>220000</v>
      </c>
    </row>
    <row r="7" spans="1:12" x14ac:dyDescent="0.25">
      <c r="A7" s="16">
        <f>IF(B7="","",MAX(A$4:A6)+1)</f>
        <v>4</v>
      </c>
      <c r="B7" s="23" t="s">
        <v>37</v>
      </c>
      <c r="D7" s="19">
        <v>0.7</v>
      </c>
      <c r="E7" s="18">
        <v>75000</v>
      </c>
      <c r="F7" s="18">
        <v>100000</v>
      </c>
      <c r="G7" s="18">
        <v>133000</v>
      </c>
      <c r="I7" s="19">
        <v>0.7</v>
      </c>
      <c r="J7" s="18">
        <v>55000</v>
      </c>
      <c r="K7" s="18">
        <v>75000</v>
      </c>
      <c r="L7" s="18">
        <v>100000</v>
      </c>
    </row>
    <row r="8" spans="1:12" x14ac:dyDescent="0.25">
      <c r="A8" s="16" t="str">
        <f>IF(B8="","",MAX(A$4:A7)+1)</f>
        <v/>
      </c>
      <c r="B8" s="22"/>
      <c r="D8" s="21"/>
      <c r="E8" s="20"/>
      <c r="F8" s="20"/>
      <c r="G8" s="20"/>
      <c r="I8" s="21"/>
      <c r="J8" s="20"/>
      <c r="K8" s="20"/>
      <c r="L8" s="20"/>
    </row>
    <row r="9" spans="1:12" x14ac:dyDescent="0.25">
      <c r="A9" s="16" t="str">
        <f>IF(B9="","",MAX(A$4:A8)+1)</f>
        <v/>
      </c>
      <c r="B9" s="23"/>
      <c r="D9" s="19"/>
      <c r="E9" s="18"/>
      <c r="F9" s="18"/>
      <c r="G9" s="18"/>
      <c r="I9" s="19"/>
      <c r="J9" s="18"/>
      <c r="K9" s="18"/>
      <c r="L9" s="18"/>
    </row>
    <row r="10" spans="1:12" x14ac:dyDescent="0.25">
      <c r="A10" s="16" t="str">
        <f>IF(B10="","",MAX(A$4:A9)+1)</f>
        <v/>
      </c>
      <c r="B10" s="22"/>
      <c r="D10" s="21"/>
      <c r="E10" s="20"/>
      <c r="F10" s="20"/>
      <c r="G10" s="20"/>
      <c r="I10" s="21"/>
      <c r="J10" s="20"/>
      <c r="K10" s="20"/>
      <c r="L10" s="20"/>
    </row>
    <row r="11" spans="1:12" x14ac:dyDescent="0.25">
      <c r="A11" s="16" t="str">
        <f>IF(B11="","",MAX(A$4:A10)+1)</f>
        <v/>
      </c>
      <c r="B11" s="23"/>
      <c r="D11" s="19"/>
      <c r="E11" s="18"/>
      <c r="F11" s="18"/>
      <c r="G11" s="18"/>
      <c r="I11" s="19"/>
      <c r="J11" s="18"/>
      <c r="K11" s="18"/>
      <c r="L11" s="18"/>
    </row>
    <row r="12" spans="1:12" x14ac:dyDescent="0.25">
      <c r="A12" s="16" t="str">
        <f>IF(B12="","",MAX(A$4:A11)+1)</f>
        <v/>
      </c>
      <c r="B12" s="22"/>
      <c r="D12" s="21"/>
      <c r="E12" s="20"/>
      <c r="F12" s="20"/>
      <c r="G12" s="20"/>
      <c r="I12" s="21"/>
      <c r="J12" s="20"/>
      <c r="K12" s="20"/>
      <c r="L12" s="20"/>
    </row>
    <row r="13" spans="1:12" x14ac:dyDescent="0.25">
      <c r="A13" s="16" t="str">
        <f>IF(B13="","",MAX(A$4:A12)+1)</f>
        <v/>
      </c>
      <c r="B13" s="23"/>
      <c r="D13" s="19"/>
      <c r="E13" s="18"/>
      <c r="F13" s="18"/>
      <c r="G13" s="18"/>
      <c r="I13" s="19"/>
      <c r="J13" s="18"/>
      <c r="K13" s="18"/>
      <c r="L13" s="18"/>
    </row>
    <row r="14" spans="1:12" x14ac:dyDescent="0.25">
      <c r="A14" s="16" t="str">
        <f>IF(B14="","",MAX(A$4:A13)+1)</f>
        <v/>
      </c>
      <c r="B14" s="22"/>
      <c r="D14" s="21"/>
      <c r="E14" s="20"/>
      <c r="F14" s="20"/>
      <c r="G14" s="20"/>
      <c r="I14" s="21"/>
      <c r="J14" s="20"/>
      <c r="K14" s="20"/>
      <c r="L14" s="20"/>
    </row>
    <row r="15" spans="1:12" x14ac:dyDescent="0.25">
      <c r="A15" s="16" t="str">
        <f>IF(B15="","",MAX(A$4:A14)+1)</f>
        <v/>
      </c>
      <c r="B15" s="23"/>
      <c r="D15" s="19"/>
      <c r="E15" s="18"/>
      <c r="F15" s="18"/>
      <c r="G15" s="18"/>
      <c r="I15" s="19"/>
      <c r="J15" s="18"/>
      <c r="K15" s="18"/>
      <c r="L15" s="18"/>
    </row>
    <row r="16" spans="1:12" x14ac:dyDescent="0.25">
      <c r="A16" s="16" t="str">
        <f>IF(B16="","",MAX(A$4:A15)+1)</f>
        <v/>
      </c>
      <c r="B16" s="22"/>
      <c r="D16" s="21"/>
      <c r="E16" s="20"/>
      <c r="F16" s="20"/>
      <c r="G16" s="20"/>
      <c r="I16" s="21"/>
      <c r="J16" s="20"/>
      <c r="K16" s="20"/>
      <c r="L16" s="20"/>
    </row>
    <row r="17" spans="1:12" x14ac:dyDescent="0.25">
      <c r="A17" s="16" t="str">
        <f>IF(B17="","",MAX(A$4:A16)+1)</f>
        <v/>
      </c>
      <c r="B17" s="23"/>
      <c r="D17" s="19"/>
      <c r="E17" s="18"/>
      <c r="F17" s="18"/>
      <c r="G17" s="18"/>
      <c r="I17" s="19"/>
      <c r="J17" s="18"/>
      <c r="K17" s="18"/>
      <c r="L17" s="18"/>
    </row>
    <row r="18" spans="1:12" x14ac:dyDescent="0.25">
      <c r="A18" s="16" t="str">
        <f>IF(B18="","",MAX(A$4:A17)+1)</f>
        <v/>
      </c>
      <c r="B18" s="22"/>
      <c r="D18" s="21"/>
      <c r="E18" s="20"/>
      <c r="F18" s="20"/>
      <c r="G18" s="20"/>
      <c r="I18" s="21"/>
      <c r="J18" s="20"/>
      <c r="K18" s="20"/>
      <c r="L18" s="20"/>
    </row>
    <row r="19" spans="1:12" x14ac:dyDescent="0.25">
      <c r="A19" s="16" t="str">
        <f>IF(B19="","",MAX(A$4:A18)+1)</f>
        <v/>
      </c>
      <c r="B19" s="23"/>
      <c r="D19" s="19"/>
      <c r="E19" s="18"/>
      <c r="F19" s="18"/>
      <c r="G19" s="18"/>
      <c r="I19" s="19"/>
      <c r="J19" s="18"/>
      <c r="K19" s="18"/>
      <c r="L19" s="18"/>
    </row>
    <row r="20" spans="1:12" x14ac:dyDescent="0.25">
      <c r="A20" s="16" t="str">
        <f>IF(B20="","",MAX(A$4:A19)+1)</f>
        <v/>
      </c>
      <c r="B20" s="22"/>
      <c r="D20" s="21"/>
      <c r="E20" s="20"/>
      <c r="F20" s="20"/>
      <c r="G20" s="20"/>
      <c r="I20" s="21"/>
      <c r="J20" s="20"/>
      <c r="K20" s="20"/>
      <c r="L20" s="20"/>
    </row>
    <row r="21" spans="1:12" x14ac:dyDescent="0.25">
      <c r="A21" s="16" t="str">
        <f>IF(B21="","",MAX(A$4:A20)+1)</f>
        <v/>
      </c>
      <c r="B21" s="23"/>
      <c r="D21" s="19"/>
      <c r="E21" s="18"/>
      <c r="F21" s="18"/>
      <c r="G21" s="18"/>
      <c r="I21" s="19"/>
      <c r="J21" s="18"/>
      <c r="K21" s="18"/>
      <c r="L21" s="18"/>
    </row>
    <row r="22" spans="1:12" x14ac:dyDescent="0.25">
      <c r="A22" s="16" t="str">
        <f>IF(B22="","",MAX(A$4:A21)+1)</f>
        <v/>
      </c>
      <c r="B22" s="22"/>
      <c r="D22" s="21"/>
      <c r="E22" s="20"/>
      <c r="F22" s="20"/>
      <c r="G22" s="20"/>
      <c r="I22" s="21"/>
      <c r="J22" s="20"/>
      <c r="K22" s="20"/>
      <c r="L22" s="20"/>
    </row>
    <row r="23" spans="1:12" x14ac:dyDescent="0.25">
      <c r="A23" s="16" t="str">
        <f>IF(B23="","",MAX(A$4:A22)+1)</f>
        <v/>
      </c>
      <c r="B23" s="23"/>
      <c r="D23" s="19"/>
      <c r="E23" s="18"/>
      <c r="F23" s="18"/>
      <c r="G23" s="18"/>
      <c r="I23" s="19"/>
      <c r="J23" s="18"/>
      <c r="K23" s="18"/>
      <c r="L23" s="18"/>
    </row>
    <row r="24" spans="1:12" x14ac:dyDescent="0.25">
      <c r="D24" s="11"/>
      <c r="I24" s="17"/>
    </row>
    <row r="25" spans="1:12" x14ac:dyDescent="0.25">
      <c r="B25" s="41" t="s">
        <v>38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</row>
    <row r="26" spans="1:12" ht="8.25" customHeight="1" x14ac:dyDescent="0.25">
      <c r="D26" s="11"/>
      <c r="I26" s="17"/>
    </row>
    <row r="27" spans="1:12" x14ac:dyDescent="0.25">
      <c r="B27" s="38" t="s">
        <v>39</v>
      </c>
      <c r="D27" s="11"/>
      <c r="I27" s="17"/>
    </row>
    <row r="28" spans="1:12" ht="8.25" customHeight="1" x14ac:dyDescent="0.25">
      <c r="D28" s="11"/>
      <c r="I28" s="17"/>
    </row>
    <row r="29" spans="1:12" ht="15" customHeight="1" x14ac:dyDescent="0.25">
      <c r="B29" s="42" t="s">
        <v>40</v>
      </c>
      <c r="C29" s="42"/>
      <c r="D29" s="42"/>
      <c r="E29" s="42"/>
      <c r="F29" s="42"/>
      <c r="G29" s="42"/>
      <c r="H29" s="39"/>
      <c r="I29" s="39"/>
    </row>
    <row r="30" spans="1:12" x14ac:dyDescent="0.25">
      <c r="B30" s="42"/>
      <c r="C30" s="42"/>
      <c r="D30" s="42"/>
      <c r="E30" s="42"/>
      <c r="F30" s="42"/>
      <c r="G30" s="42"/>
      <c r="H30" s="39"/>
      <c r="I30" s="39"/>
    </row>
    <row r="31" spans="1:12" ht="8.25" customHeight="1" x14ac:dyDescent="0.25">
      <c r="B31" s="39"/>
      <c r="C31" s="39"/>
      <c r="D31" s="39"/>
      <c r="E31" s="39"/>
      <c r="F31" s="39"/>
      <c r="G31" s="39"/>
      <c r="H31" s="39"/>
      <c r="I31" s="39"/>
    </row>
    <row r="32" spans="1:12" x14ac:dyDescent="0.25">
      <c r="B32" s="42" t="s">
        <v>42</v>
      </c>
      <c r="C32" s="42"/>
      <c r="D32" s="42"/>
      <c r="E32" s="42"/>
      <c r="F32" s="42"/>
      <c r="G32" s="42"/>
      <c r="H32" s="39"/>
      <c r="I32" s="39"/>
    </row>
    <row r="33" spans="2:9" x14ac:dyDescent="0.25">
      <c r="B33" s="42"/>
      <c r="C33" s="42"/>
      <c r="D33" s="42"/>
      <c r="E33" s="42"/>
      <c r="F33" s="42"/>
      <c r="G33" s="42"/>
      <c r="I33" s="17"/>
    </row>
    <row r="34" spans="2:9" x14ac:dyDescent="0.25">
      <c r="D34" s="11"/>
      <c r="I34" s="17"/>
    </row>
    <row r="35" spans="2:9" x14ac:dyDescent="0.25">
      <c r="D35" s="11"/>
      <c r="I35" s="17"/>
    </row>
    <row r="36" spans="2:9" x14ac:dyDescent="0.25">
      <c r="D36" s="11"/>
      <c r="I36" s="17"/>
    </row>
    <row r="37" spans="2:9" x14ac:dyDescent="0.25">
      <c r="D37" s="11"/>
      <c r="I37" s="17"/>
    </row>
    <row r="38" spans="2:9" x14ac:dyDescent="0.25">
      <c r="D38" s="11"/>
      <c r="I38" s="17"/>
    </row>
    <row r="39" spans="2:9" x14ac:dyDescent="0.25">
      <c r="D39" s="11"/>
    </row>
    <row r="40" spans="2:9" x14ac:dyDescent="0.25">
      <c r="D40" s="11"/>
    </row>
  </sheetData>
  <mergeCells count="3">
    <mergeCell ref="B25:L25"/>
    <mergeCell ref="B29:G30"/>
    <mergeCell ref="B32:G33"/>
  </mergeCells>
  <hyperlinks>
    <hyperlink ref="B27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/>
  </sheetViews>
  <sheetFormatPr defaultRowHeight="15" x14ac:dyDescent="0.25"/>
  <sheetData>
    <row r="1" spans="1:2" x14ac:dyDescent="0.25">
      <c r="A1" s="8">
        <f>_xll.SimulationHistogramBinLabel( 'Model (Random Sampling)'!$I$3, 15, 1, TRUE )</f>
        <v>0</v>
      </c>
      <c r="B1" s="12">
        <f>_xll.SimulationHistogramBin( 'Model (Random Sampling)'!$I$3, 15, 1, TRUE )</f>
        <v>505</v>
      </c>
    </row>
    <row r="2" spans="1:2" x14ac:dyDescent="0.25">
      <c r="A2" s="8">
        <f>_xll.SimulationHistogramBinLabel( 'Model (Random Sampling)'!$I$3, 15, 2, TRUE )</f>
        <v>60000</v>
      </c>
      <c r="B2" s="12">
        <f>_xll.SimulationHistogramBin( 'Model (Random Sampling)'!$I$3, 15, 2, TRUE )</f>
        <v>0</v>
      </c>
    </row>
    <row r="3" spans="1:2" x14ac:dyDescent="0.25">
      <c r="A3" s="8">
        <f>_xll.SimulationHistogramBinLabel( 'Model (Random Sampling)'!$I$3, 15, 3, TRUE )</f>
        <v>120000</v>
      </c>
      <c r="B3" s="12">
        <f>_xll.SimulationHistogramBin( 'Model (Random Sampling)'!$I$3, 15, 3, TRUE )</f>
        <v>0</v>
      </c>
    </row>
    <row r="4" spans="1:2" x14ac:dyDescent="0.25">
      <c r="A4" s="8">
        <f>_xll.SimulationHistogramBinLabel( 'Model (Random Sampling)'!$I$3, 15, 4, TRUE )</f>
        <v>180000</v>
      </c>
      <c r="B4" s="12">
        <f>_xll.SimulationHistogramBin( 'Model (Random Sampling)'!$I$3, 15, 4, TRUE )</f>
        <v>0</v>
      </c>
    </row>
    <row r="5" spans="1:2" x14ac:dyDescent="0.25">
      <c r="A5" s="8">
        <f>_xll.SimulationHistogramBinLabel( 'Model (Random Sampling)'!$I$3, 15, 5, TRUE )</f>
        <v>240000</v>
      </c>
      <c r="B5" s="12">
        <f>_xll.SimulationHistogramBin( 'Model (Random Sampling)'!$I$3, 15, 5, TRUE )</f>
        <v>0</v>
      </c>
    </row>
    <row r="6" spans="1:2" x14ac:dyDescent="0.25">
      <c r="A6" s="8">
        <f>_xll.SimulationHistogramBinLabel( 'Model (Random Sampling)'!$I$3, 15, 6, TRUE )</f>
        <v>300000</v>
      </c>
      <c r="B6" s="12">
        <f>_xll.SimulationHistogramBin( 'Model (Random Sampling)'!$I$3, 15, 6, TRUE )</f>
        <v>7</v>
      </c>
    </row>
    <row r="7" spans="1:2" x14ac:dyDescent="0.25">
      <c r="A7" s="8">
        <f>_xll.SimulationHistogramBinLabel( 'Model (Random Sampling)'!$I$3, 15, 7, TRUE )</f>
        <v>360000</v>
      </c>
      <c r="B7" s="12">
        <f>_xll.SimulationHistogramBin( 'Model (Random Sampling)'!$I$3, 15, 7, TRUE )</f>
        <v>57</v>
      </c>
    </row>
    <row r="8" spans="1:2" x14ac:dyDescent="0.25">
      <c r="A8" s="8">
        <f>_xll.SimulationHistogramBinLabel( 'Model (Random Sampling)'!$I$3, 15, 8, TRUE )</f>
        <v>420000</v>
      </c>
      <c r="B8" s="12">
        <f>_xll.SimulationHistogramBin( 'Model (Random Sampling)'!$I$3, 15, 8, TRUE )</f>
        <v>88</v>
      </c>
    </row>
    <row r="9" spans="1:2" x14ac:dyDescent="0.25">
      <c r="A9" s="8">
        <f>_xll.SimulationHistogramBinLabel( 'Model (Random Sampling)'!$I$3, 15, 9, TRUE )</f>
        <v>480000</v>
      </c>
      <c r="B9" s="12">
        <f>_xll.SimulationHistogramBin( 'Model (Random Sampling)'!$I$3, 15, 9, TRUE )</f>
        <v>116</v>
      </c>
    </row>
    <row r="10" spans="1:2" x14ac:dyDescent="0.25">
      <c r="A10" s="8">
        <f>_xll.SimulationHistogramBinLabel( 'Model (Random Sampling)'!$I$3, 15, 10, TRUE )</f>
        <v>540000</v>
      </c>
      <c r="B10" s="12">
        <f>_xll.SimulationHistogramBin( 'Model (Random Sampling)'!$I$3, 15, 10, TRUE )</f>
        <v>87</v>
      </c>
    </row>
    <row r="11" spans="1:2" x14ac:dyDescent="0.25">
      <c r="A11" s="8">
        <f>_xll.SimulationHistogramBinLabel( 'Model (Random Sampling)'!$I$3, 15, 11, TRUE )</f>
        <v>600000</v>
      </c>
      <c r="B11" s="12">
        <f>_xll.SimulationHistogramBin( 'Model (Random Sampling)'!$I$3, 15, 11, TRUE )</f>
        <v>92</v>
      </c>
    </row>
    <row r="12" spans="1:2" x14ac:dyDescent="0.25">
      <c r="A12" s="8">
        <f>_xll.SimulationHistogramBinLabel( 'Model (Random Sampling)'!$I$3, 15, 12, TRUE )</f>
        <v>660000</v>
      </c>
      <c r="B12" s="12">
        <f>_xll.SimulationHistogramBin( 'Model (Random Sampling)'!$I$3, 15, 12, TRUE )</f>
        <v>34</v>
      </c>
    </row>
    <row r="13" spans="1:2" x14ac:dyDescent="0.25">
      <c r="A13" s="8">
        <f>_xll.SimulationHistogramBinLabel( 'Model (Random Sampling)'!$I$3, 15, 13, TRUE )</f>
        <v>720000</v>
      </c>
      <c r="B13" s="12">
        <f>_xll.SimulationHistogramBin( 'Model (Random Sampling)'!$I$3, 15, 13, TRUE )</f>
        <v>13</v>
      </c>
    </row>
    <row r="14" spans="1:2" x14ac:dyDescent="0.25">
      <c r="A14" s="8">
        <f>_xll.SimulationHistogramBinLabel( 'Model (Random Sampling)'!$I$3, 15, 14, TRUE )</f>
        <v>780000</v>
      </c>
      <c r="B14" s="12">
        <f>_xll.SimulationHistogramBin( 'Model (Random Sampling)'!$I$3, 15, 14, TRUE )</f>
        <v>1</v>
      </c>
    </row>
    <row r="15" spans="1:2" x14ac:dyDescent="0.25">
      <c r="A15" s="8">
        <f>_xll.SimulationHistogramBinLabel( 'Model (Random Sampling)'!$I$3, 15, 15, TRUE )</f>
        <v>840000</v>
      </c>
      <c r="B15" s="12">
        <f>_xll.SimulationHistogramBin( 'Model (Random Sampling)'!$I$3, 15, 15, TRUE )</f>
        <v>0</v>
      </c>
    </row>
    <row r="16" spans="1:2" x14ac:dyDescent="0.25">
      <c r="A16" s="8"/>
      <c r="B16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0"/>
  <sheetViews>
    <sheetView workbookViewId="0">
      <selection activeCell="C30" sqref="C30"/>
    </sheetView>
  </sheetViews>
  <sheetFormatPr defaultRowHeight="15" x14ac:dyDescent="0.25"/>
  <cols>
    <col min="1" max="1" width="3.28515625" style="9" customWidth="1"/>
    <col min="2" max="2" width="12.42578125" style="9" customWidth="1"/>
    <col min="3" max="3" width="19.7109375" style="11" customWidth="1"/>
    <col min="4" max="16384" width="9.140625" style="9"/>
  </cols>
  <sheetData>
    <row r="2" spans="2:3" x14ac:dyDescent="0.25">
      <c r="B2" s="32" t="str">
        <f>Inputs!D2</f>
        <v xml:space="preserve"> Current / Expected</v>
      </c>
      <c r="C2" s="33"/>
    </row>
    <row r="3" spans="2:3" x14ac:dyDescent="0.25">
      <c r="B3" s="25"/>
      <c r="C3" s="26"/>
    </row>
    <row r="4" spans="2:3" x14ac:dyDescent="0.25">
      <c r="B4" s="27" t="s">
        <v>14</v>
      </c>
      <c r="C4" s="28">
        <f>Data!D17</f>
        <v>690000</v>
      </c>
    </row>
    <row r="5" spans="2:3" x14ac:dyDescent="0.25">
      <c r="B5" s="25" t="s">
        <v>15</v>
      </c>
      <c r="C5" s="29">
        <f>Data!D18</f>
        <v>690000</v>
      </c>
    </row>
    <row r="6" spans="2:3" x14ac:dyDescent="0.25">
      <c r="B6" s="27" t="s">
        <v>17</v>
      </c>
      <c r="C6" s="28">
        <f>Data!D21</f>
        <v>320000</v>
      </c>
    </row>
    <row r="7" spans="2:3" x14ac:dyDescent="0.25">
      <c r="B7" s="25" t="s">
        <v>18</v>
      </c>
      <c r="C7" s="30">
        <f>Data!C22</f>
        <v>0.46665649436732243</v>
      </c>
    </row>
    <row r="8" spans="2:3" x14ac:dyDescent="0.25">
      <c r="B8" s="27"/>
      <c r="C8" s="31"/>
    </row>
    <row r="9" spans="2:3" x14ac:dyDescent="0.25">
      <c r="B9" s="25" t="s">
        <v>20</v>
      </c>
      <c r="C9" s="26" t="str">
        <f>Data!D19</f>
        <v>310,000 - 1,100,000</v>
      </c>
    </row>
    <row r="10" spans="2:3" x14ac:dyDescent="0.25">
      <c r="B10" s="27" t="s">
        <v>43</v>
      </c>
      <c r="C10" s="31" t="str">
        <f>Data!D28</f>
        <v>420,000 - 940,000</v>
      </c>
    </row>
    <row r="12" spans="2:3" x14ac:dyDescent="0.25">
      <c r="B12" s="32" t="str">
        <f>Inputs!I2</f>
        <v xml:space="preserve"> Target / Alternative</v>
      </c>
      <c r="C12" s="33"/>
    </row>
    <row r="13" spans="2:3" x14ac:dyDescent="0.25">
      <c r="B13" s="25"/>
      <c r="C13" s="26"/>
    </row>
    <row r="14" spans="2:3" x14ac:dyDescent="0.25">
      <c r="B14" s="27" t="s">
        <v>14</v>
      </c>
      <c r="C14" s="34">
        <f>Data!K17</f>
        <v>250000</v>
      </c>
    </row>
    <row r="15" spans="2:3" x14ac:dyDescent="0.25">
      <c r="B15" s="25" t="s">
        <v>15</v>
      </c>
      <c r="C15" s="35">
        <f>Data!K18</f>
        <v>230000</v>
      </c>
    </row>
    <row r="16" spans="2:3" x14ac:dyDescent="0.25">
      <c r="B16" s="27" t="s">
        <v>17</v>
      </c>
      <c r="C16" s="34">
        <f>Data!K21</f>
        <v>150000</v>
      </c>
    </row>
    <row r="17" spans="2:5" x14ac:dyDescent="0.25">
      <c r="B17" s="25" t="s">
        <v>18</v>
      </c>
      <c r="C17" s="30">
        <f>Data!J22</f>
        <v>0.6125958944542762</v>
      </c>
    </row>
    <row r="18" spans="2:5" x14ac:dyDescent="0.25">
      <c r="B18" s="27"/>
      <c r="C18" s="31"/>
    </row>
    <row r="19" spans="2:5" x14ac:dyDescent="0.25">
      <c r="B19" s="25" t="s">
        <v>20</v>
      </c>
      <c r="C19" s="36" t="str">
        <f>Data!K19</f>
        <v>68,000 - 450,000</v>
      </c>
    </row>
    <row r="20" spans="2:5" x14ac:dyDescent="0.25">
      <c r="B20" s="27" t="s">
        <v>43</v>
      </c>
      <c r="C20" s="31" t="str">
        <f>Data!K28</f>
        <v>130,000 - 360,000</v>
      </c>
    </row>
    <row r="26" spans="2:5" x14ac:dyDescent="0.25">
      <c r="B26" s="32" t="s">
        <v>23</v>
      </c>
      <c r="C26" s="33"/>
    </row>
    <row r="27" spans="2:5" x14ac:dyDescent="0.25">
      <c r="B27" s="25" t="s">
        <v>22</v>
      </c>
      <c r="C27" s="29">
        <f>_xll.SimulationTrials()</f>
        <v>1000</v>
      </c>
    </row>
    <row r="28" spans="2:5" x14ac:dyDescent="0.25">
      <c r="B28" s="27" t="s">
        <v>24</v>
      </c>
      <c r="C28" s="37">
        <f>_xll.SimulationTime()</f>
        <v>2.9220000000000002</v>
      </c>
    </row>
    <row r="29" spans="2:5" ht="7.5" customHeight="1" x14ac:dyDescent="0.25"/>
    <row r="30" spans="2:5" x14ac:dyDescent="0.25">
      <c r="E30" s="40" t="s">
        <v>41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workbookViewId="0">
      <selection activeCell="I31" sqref="I31"/>
    </sheetView>
  </sheetViews>
  <sheetFormatPr defaultRowHeight="15" x14ac:dyDescent="0.25"/>
  <cols>
    <col min="1" max="1" width="19.42578125" customWidth="1"/>
    <col min="2" max="4" width="10.5703125" bestFit="1" customWidth="1"/>
    <col min="9" max="9" width="10.5703125" bestFit="1" customWidth="1"/>
    <col min="12" max="12" width="9.28515625" bestFit="1" customWidth="1"/>
    <col min="13" max="14" width="9.5703125" bestFit="1" customWidth="1"/>
    <col min="19" max="19" width="10.5703125" bestFit="1" customWidth="1"/>
  </cols>
  <sheetData>
    <row r="1" spans="1:20" x14ac:dyDescent="0.25">
      <c r="A1" s="1" t="s">
        <v>0</v>
      </c>
      <c r="B1" s="6" t="str">
        <f>Inputs!D2</f>
        <v xml:space="preserve"> Current / Expected</v>
      </c>
      <c r="C1" s="6"/>
      <c r="D1" s="6"/>
      <c r="E1" s="6"/>
      <c r="F1" s="13"/>
      <c r="L1" s="6" t="str">
        <f>Inputs!I2</f>
        <v xml:space="preserve"> Target / Alternative</v>
      </c>
      <c r="M1" s="6"/>
      <c r="N1" s="6"/>
      <c r="O1" s="6"/>
      <c r="P1" s="13"/>
    </row>
    <row r="2" spans="1:20" s="1" customFormat="1" x14ac:dyDescent="0.25">
      <c r="B2" s="7" t="s">
        <v>29</v>
      </c>
      <c r="C2" s="7" t="s">
        <v>3</v>
      </c>
      <c r="D2" s="7" t="s">
        <v>30</v>
      </c>
      <c r="E2" s="7" t="s">
        <v>25</v>
      </c>
      <c r="F2" s="7" t="s">
        <v>26</v>
      </c>
      <c r="G2" s="7" t="s">
        <v>5</v>
      </c>
      <c r="H2" s="7" t="s">
        <v>6</v>
      </c>
      <c r="I2" s="7" t="s">
        <v>7</v>
      </c>
      <c r="J2" s="7" t="s">
        <v>4</v>
      </c>
      <c r="L2" s="7" t="s">
        <v>1</v>
      </c>
      <c r="M2" s="7" t="s">
        <v>3</v>
      </c>
      <c r="N2" s="7" t="s">
        <v>2</v>
      </c>
      <c r="O2" s="7" t="s">
        <v>25</v>
      </c>
      <c r="P2" s="7" t="s">
        <v>26</v>
      </c>
      <c r="Q2" s="7" t="s">
        <v>5</v>
      </c>
      <c r="R2" s="7" t="s">
        <v>6</v>
      </c>
      <c r="S2" s="7" t="s">
        <v>7</v>
      </c>
      <c r="T2" s="7" t="s">
        <v>4</v>
      </c>
    </row>
    <row r="3" spans="1:20" x14ac:dyDescent="0.25">
      <c r="A3" t="str">
        <f>IF(Inputs!B4&lt;&gt;"",Inputs!B4,"")</f>
        <v>Cleanup Costs</v>
      </c>
      <c r="B3" s="3">
        <f>Inputs!E4</f>
        <v>270000</v>
      </c>
      <c r="C3" s="3">
        <f>Inputs!F4</f>
        <v>450000</v>
      </c>
      <c r="D3" s="3">
        <f>Inputs!G4</f>
        <v>775000</v>
      </c>
      <c r="E3" s="2">
        <f>Inputs!D4</f>
        <v>0.5</v>
      </c>
      <c r="F3" s="2" t="b">
        <f>_xll.ProbabilityValue(E3)</f>
        <v>0</v>
      </c>
      <c r="G3" s="2" t="b">
        <f>AND(B3,C3,D3)</f>
        <v>1</v>
      </c>
      <c r="H3" s="4">
        <v>4</v>
      </c>
      <c r="I3" s="3">
        <f>IF(G3,IF(F3,_xll.PERTValue(B3,C3,D3,H3),0),"")</f>
        <v>0</v>
      </c>
      <c r="J3" s="5">
        <f>IF(G3,_xll.SimulationRSquared(I$23,I3),"")</f>
        <v>0.59026512110746598</v>
      </c>
      <c r="L3" s="3">
        <f>Inputs!J4</f>
        <v>100000</v>
      </c>
      <c r="M3" s="3">
        <f>Inputs!K4</f>
        <v>220000</v>
      </c>
      <c r="N3" s="3">
        <f>Inputs!L4</f>
        <v>350000</v>
      </c>
      <c r="O3" s="2">
        <f>Inputs!I4</f>
        <v>0.25</v>
      </c>
      <c r="P3" s="2" t="b">
        <f>_xll.ProbabilityValue(O3)</f>
        <v>0</v>
      </c>
      <c r="Q3" s="2" t="b">
        <f>AND(L3,M3,N3)</f>
        <v>1</v>
      </c>
      <c r="R3" s="4">
        <f>H3</f>
        <v>4</v>
      </c>
      <c r="S3" s="3">
        <f>IF(Q3,IF(P3,_xll.PERTValue(L3,M3,N3,R3),0),"")</f>
        <v>0</v>
      </c>
      <c r="T3" s="5">
        <f>IF(Q3,_xll.SimulationRSquared(S$23,S3),"")</f>
        <v>0.43189588560584541</v>
      </c>
    </row>
    <row r="4" spans="1:20" x14ac:dyDescent="0.25">
      <c r="A4" t="str">
        <f>IF(Inputs!B5&lt;&gt;"",Inputs!B5,"")</f>
        <v>Relocation</v>
      </c>
      <c r="B4" s="3">
        <f>Inputs!E5</f>
        <v>200000</v>
      </c>
      <c r="C4" s="3">
        <f>Inputs!F5</f>
        <v>300000</v>
      </c>
      <c r="D4" s="3">
        <f>Inputs!G5</f>
        <v>400000</v>
      </c>
      <c r="E4" s="2">
        <f>Inputs!D5</f>
        <v>0.7</v>
      </c>
      <c r="F4" s="2" t="b">
        <f>_xll.ProbabilityValue(E4)</f>
        <v>1</v>
      </c>
      <c r="G4" s="2" t="b">
        <f t="shared" ref="G4:G22" si="0">AND(B4,C4,D4)</f>
        <v>1</v>
      </c>
      <c r="H4" s="4">
        <f>H3</f>
        <v>4</v>
      </c>
      <c r="I4" s="3">
        <f>IF(G4,IF(F4,_xll.PERTValue(B4,C4,D4,H4),0),"")</f>
        <v>279384.11400395929</v>
      </c>
      <c r="J4" s="5">
        <f>IF(G4,_xll.SimulationRSquared(I$23,I4),"")</f>
        <v>0.16354016453917797</v>
      </c>
      <c r="L4" s="3">
        <f>Inputs!J5</f>
        <v>100000</v>
      </c>
      <c r="M4" s="3">
        <f>Inputs!K5</f>
        <v>150000</v>
      </c>
      <c r="N4" s="3">
        <f>Inputs!L5</f>
        <v>220000</v>
      </c>
      <c r="O4" s="2">
        <f>Inputs!I5</f>
        <v>0.4</v>
      </c>
      <c r="P4" s="2" t="b">
        <f>_xll.ProbabilityValue(O4)</f>
        <v>1</v>
      </c>
      <c r="Q4" s="2" t="b">
        <f t="shared" ref="Q4:Q22" si="1">AND(L4,M4,N4)</f>
        <v>1</v>
      </c>
      <c r="R4" s="4">
        <f>R3</f>
        <v>4</v>
      </c>
      <c r="S4" s="3">
        <f>IF(Q4,IF(P4,_xll.PERTValue(L4,M4,N4,R4),0),"")</f>
        <v>169414.33239044825</v>
      </c>
      <c r="T4" s="5">
        <f>IF(Q4,_xll.SimulationRSquared(S$23,S4),"")</f>
        <v>0.2335629045268714</v>
      </c>
    </row>
    <row r="5" spans="1:20" x14ac:dyDescent="0.25">
      <c r="A5" t="str">
        <f>IF(Inputs!B6&lt;&gt;"",Inputs!B6,"")</f>
        <v>Setup</v>
      </c>
      <c r="B5" s="3">
        <f>Inputs!E6</f>
        <v>200000</v>
      </c>
      <c r="C5" s="3">
        <f>Inputs!F6</f>
        <v>300000</v>
      </c>
      <c r="D5" s="3">
        <f>Inputs!G6</f>
        <v>400000</v>
      </c>
      <c r="E5" s="2">
        <f>Inputs!D6</f>
        <v>0.6</v>
      </c>
      <c r="F5" s="2" t="b">
        <f>_xll.ProbabilityValue(E5)</f>
        <v>0</v>
      </c>
      <c r="G5" s="2" t="b">
        <f t="shared" si="0"/>
        <v>1</v>
      </c>
      <c r="H5" s="4">
        <f t="shared" ref="H5:H22" si="2">H4</f>
        <v>4</v>
      </c>
      <c r="I5" s="3">
        <f>IF(G5,IF(F5,_xll.PERTValue(B5,C5,D5,H5),0),"")</f>
        <v>0</v>
      </c>
      <c r="J5" s="5">
        <f>IF(G5,_xll.SimulationRSquared(I$23,I5),"")</f>
        <v>0.23859851000190463</v>
      </c>
      <c r="L5" s="3">
        <f>Inputs!J6</f>
        <v>100000</v>
      </c>
      <c r="M5" s="3">
        <f>Inputs!K6</f>
        <v>150000</v>
      </c>
      <c r="N5" s="3">
        <f>Inputs!L6</f>
        <v>220000</v>
      </c>
      <c r="O5" s="2">
        <f>Inputs!I6</f>
        <v>0.5</v>
      </c>
      <c r="P5" s="2" t="b">
        <f>_xll.ProbabilityValue(O5)</f>
        <v>0</v>
      </c>
      <c r="Q5" s="2" t="b">
        <f t="shared" si="1"/>
        <v>1</v>
      </c>
      <c r="R5" s="4">
        <f t="shared" ref="R5:R22" si="3">R4</f>
        <v>4</v>
      </c>
      <c r="S5" s="3">
        <f>IF(Q5,IF(P5,_xll.PERTValue(L5,M5,N5,R5),0),"")</f>
        <v>0</v>
      </c>
      <c r="T5" s="5">
        <f>IF(Q5,_xll.SimulationRSquared(S$23,S5),"")</f>
        <v>0.25964384397284879</v>
      </c>
    </row>
    <row r="6" spans="1:20" x14ac:dyDescent="0.25">
      <c r="A6" t="str">
        <f>IF(Inputs!B7&lt;&gt;"",Inputs!B7,"")</f>
        <v>Installation</v>
      </c>
      <c r="B6" s="3">
        <f>Inputs!E7</f>
        <v>75000</v>
      </c>
      <c r="C6" s="3">
        <f>Inputs!F7</f>
        <v>100000</v>
      </c>
      <c r="D6" s="3">
        <f>Inputs!G7</f>
        <v>133000</v>
      </c>
      <c r="E6" s="2">
        <f>Inputs!D7</f>
        <v>0.7</v>
      </c>
      <c r="F6" s="2" t="b">
        <f>_xll.ProbabilityValue(E6)</f>
        <v>1</v>
      </c>
      <c r="G6" s="2" t="b">
        <f t="shared" si="0"/>
        <v>1</v>
      </c>
      <c r="H6" s="4">
        <f t="shared" si="2"/>
        <v>4</v>
      </c>
      <c r="I6" s="3">
        <f>IF(G6,IF(F6,_xll.PERTValue(B6,C6,D6,H6),0),"")</f>
        <v>111634.74835074252</v>
      </c>
      <c r="J6" s="5">
        <f>IF(G6,_xll.SimulationRSquared(I$23,I6),"")</f>
        <v>9.999540565620732E-3</v>
      </c>
      <c r="L6" s="3">
        <f>Inputs!J7</f>
        <v>55000</v>
      </c>
      <c r="M6" s="3">
        <f>Inputs!K7</f>
        <v>75000</v>
      </c>
      <c r="N6" s="3">
        <f>Inputs!L7</f>
        <v>100000</v>
      </c>
      <c r="O6" s="2">
        <f>Inputs!I7</f>
        <v>0.7</v>
      </c>
      <c r="P6" s="2" t="b">
        <f>_xll.ProbabilityValue(O6)</f>
        <v>0</v>
      </c>
      <c r="Q6" s="2" t="b">
        <f t="shared" si="1"/>
        <v>1</v>
      </c>
      <c r="R6" s="4">
        <f t="shared" si="3"/>
        <v>4</v>
      </c>
      <c r="S6" s="3">
        <f>IF(Q6,IF(P6,_xll.PERTValue(L6,M6,N6,R6),0),"")</f>
        <v>0</v>
      </c>
      <c r="T6" s="5">
        <f>IF(Q6,_xll.SimulationRSquared(S$23,S6),"")</f>
        <v>6.1150888706389545E-2</v>
      </c>
    </row>
    <row r="7" spans="1:20" x14ac:dyDescent="0.25">
      <c r="A7" t="str">
        <f>IF(Inputs!B8&lt;&gt;"",Inputs!B8,"")</f>
        <v/>
      </c>
      <c r="B7" s="3">
        <f>Inputs!E8</f>
        <v>0</v>
      </c>
      <c r="C7" s="3">
        <f>Inputs!F8</f>
        <v>0</v>
      </c>
      <c r="D7" s="3">
        <f>Inputs!G8</f>
        <v>0</v>
      </c>
      <c r="E7" s="2">
        <f>Inputs!D8</f>
        <v>0</v>
      </c>
      <c r="F7" s="2" t="b">
        <f>_xll.ProbabilityValue(E7)</f>
        <v>0</v>
      </c>
      <c r="G7" s="2" t="b">
        <f t="shared" si="0"/>
        <v>0</v>
      </c>
      <c r="H7" s="4">
        <f t="shared" si="2"/>
        <v>4</v>
      </c>
      <c r="I7" s="3" t="str">
        <f>IF(G7,IF(F7,_xll.PERTValue(B7,C7,D7,H7),0),"")</f>
        <v/>
      </c>
      <c r="J7" s="5" t="str">
        <f>IF(G7,_xll.SimulationRSquared(I$23,I7),"")</f>
        <v/>
      </c>
      <c r="L7" s="3">
        <f>Inputs!J8</f>
        <v>0</v>
      </c>
      <c r="M7" s="3">
        <f>Inputs!K8</f>
        <v>0</v>
      </c>
      <c r="N7" s="3">
        <f>Inputs!L8</f>
        <v>0</v>
      </c>
      <c r="O7" s="2">
        <f>Inputs!I8</f>
        <v>0</v>
      </c>
      <c r="P7" s="2" t="b">
        <f>_xll.ProbabilityValue(O7)</f>
        <v>0</v>
      </c>
      <c r="Q7" s="2" t="b">
        <f t="shared" si="1"/>
        <v>0</v>
      </c>
      <c r="R7" s="4">
        <f t="shared" si="3"/>
        <v>4</v>
      </c>
      <c r="S7" s="3" t="str">
        <f>IF(Q7,IF(P7,_xll.PERTValue(L7,M7,N7,R7),0),"")</f>
        <v/>
      </c>
      <c r="T7" s="5" t="str">
        <f>IF(Q7,_xll.SimulationRSquared(S$23,S7),"")</f>
        <v/>
      </c>
    </row>
    <row r="8" spans="1:20" x14ac:dyDescent="0.25">
      <c r="A8" t="str">
        <f>IF(Inputs!B9&lt;&gt;"",Inputs!B9,"")</f>
        <v/>
      </c>
      <c r="B8" s="3">
        <f>Inputs!E9</f>
        <v>0</v>
      </c>
      <c r="C8" s="3">
        <f>Inputs!F9</f>
        <v>0</v>
      </c>
      <c r="D8" s="3">
        <f>Inputs!G9</f>
        <v>0</v>
      </c>
      <c r="E8" s="2">
        <f>Inputs!D9</f>
        <v>0</v>
      </c>
      <c r="F8" s="2" t="b">
        <f>_xll.ProbabilityValue(E8)</f>
        <v>0</v>
      </c>
      <c r="G8" s="2" t="b">
        <f t="shared" si="0"/>
        <v>0</v>
      </c>
      <c r="H8" s="4">
        <f t="shared" si="2"/>
        <v>4</v>
      </c>
      <c r="I8" s="3" t="str">
        <f>IF(G8,IF(F8,_xll.PERTValue(B8,C8,D8,H8),0),"")</f>
        <v/>
      </c>
      <c r="J8" s="5" t="str">
        <f>IF(G8,_xll.SimulationRSquared(I$23,I8),"")</f>
        <v/>
      </c>
      <c r="L8" s="3">
        <f>Inputs!J9</f>
        <v>0</v>
      </c>
      <c r="M8" s="3">
        <f>Inputs!K9</f>
        <v>0</v>
      </c>
      <c r="N8" s="3">
        <f>Inputs!L9</f>
        <v>0</v>
      </c>
      <c r="O8" s="2">
        <f>Inputs!I9</f>
        <v>0</v>
      </c>
      <c r="P8" s="2" t="b">
        <f>_xll.ProbabilityValue(O8)</f>
        <v>0</v>
      </c>
      <c r="Q8" s="2" t="b">
        <f t="shared" si="1"/>
        <v>0</v>
      </c>
      <c r="R8" s="4">
        <f t="shared" si="3"/>
        <v>4</v>
      </c>
      <c r="S8" s="3" t="str">
        <f>IF(Q8,IF(P8,_xll.PERTValue(L8,M8,N8,R8),0),"")</f>
        <v/>
      </c>
      <c r="T8" s="5" t="str">
        <f>IF(Q8,_xll.SimulationRSquared(S$23,S8),"")</f>
        <v/>
      </c>
    </row>
    <row r="9" spans="1:20" x14ac:dyDescent="0.25">
      <c r="A9" t="str">
        <f>IF(Inputs!B10&lt;&gt;"",Inputs!B10,"")</f>
        <v/>
      </c>
      <c r="B9" s="3">
        <f>Inputs!E10</f>
        <v>0</v>
      </c>
      <c r="C9" s="3">
        <f>Inputs!F10</f>
        <v>0</v>
      </c>
      <c r="D9" s="3">
        <f>Inputs!G10</f>
        <v>0</v>
      </c>
      <c r="E9" s="2">
        <f>Inputs!D10</f>
        <v>0</v>
      </c>
      <c r="F9" s="2" t="b">
        <f>_xll.ProbabilityValue(E9)</f>
        <v>0</v>
      </c>
      <c r="G9" s="2" t="b">
        <f t="shared" si="0"/>
        <v>0</v>
      </c>
      <c r="H9" s="4">
        <f t="shared" si="2"/>
        <v>4</v>
      </c>
      <c r="I9" s="3" t="str">
        <f>IF(G9,IF(F9,_xll.PERTValue(B9,C9,D9,H9),0),"")</f>
        <v/>
      </c>
      <c r="J9" s="5" t="str">
        <f>IF(G9,_xll.SimulationRSquared(I$23,I9),"")</f>
        <v/>
      </c>
      <c r="L9" s="3">
        <f>Inputs!J10</f>
        <v>0</v>
      </c>
      <c r="M9" s="3">
        <f>Inputs!K10</f>
        <v>0</v>
      </c>
      <c r="N9" s="3">
        <f>Inputs!L10</f>
        <v>0</v>
      </c>
      <c r="O9" s="2">
        <f>Inputs!I10</f>
        <v>0</v>
      </c>
      <c r="P9" s="2" t="b">
        <f>_xll.ProbabilityValue(O9)</f>
        <v>0</v>
      </c>
      <c r="Q9" s="2" t="b">
        <f t="shared" si="1"/>
        <v>0</v>
      </c>
      <c r="R9" s="4">
        <f t="shared" si="3"/>
        <v>4</v>
      </c>
      <c r="S9" s="3" t="str">
        <f>IF(Q9,IF(P9,_xll.PERTValue(L9,M9,N9,R9),0),"")</f>
        <v/>
      </c>
      <c r="T9" s="5" t="str">
        <f>IF(Q9,_xll.SimulationRSquared(S$23,S9),"")</f>
        <v/>
      </c>
    </row>
    <row r="10" spans="1:20" x14ac:dyDescent="0.25">
      <c r="A10" t="str">
        <f>IF(Inputs!B11&lt;&gt;"",Inputs!B11,"")</f>
        <v/>
      </c>
      <c r="B10" s="3">
        <f>Inputs!E11</f>
        <v>0</v>
      </c>
      <c r="C10" s="3">
        <f>Inputs!F11</f>
        <v>0</v>
      </c>
      <c r="D10" s="3">
        <f>Inputs!G11</f>
        <v>0</v>
      </c>
      <c r="E10" s="2">
        <f>Inputs!D11</f>
        <v>0</v>
      </c>
      <c r="F10" s="2" t="b">
        <f>_xll.ProbabilityValue(E10)</f>
        <v>0</v>
      </c>
      <c r="G10" s="2" t="b">
        <f t="shared" si="0"/>
        <v>0</v>
      </c>
      <c r="H10" s="4">
        <f t="shared" si="2"/>
        <v>4</v>
      </c>
      <c r="I10" s="3" t="str">
        <f>IF(G10,IF(F10,_xll.PERTValue(B10,C10,D10,H10),0),"")</f>
        <v/>
      </c>
      <c r="J10" s="5" t="str">
        <f>IF(G10,_xll.SimulationRSquared(I$23,I10),"")</f>
        <v/>
      </c>
      <c r="L10" s="3">
        <f>Inputs!J11</f>
        <v>0</v>
      </c>
      <c r="M10" s="3">
        <f>Inputs!K11</f>
        <v>0</v>
      </c>
      <c r="N10" s="3">
        <f>Inputs!L11</f>
        <v>0</v>
      </c>
      <c r="O10" s="2">
        <f>Inputs!I11</f>
        <v>0</v>
      </c>
      <c r="P10" s="2" t="b">
        <f>_xll.ProbabilityValue(O10)</f>
        <v>0</v>
      </c>
      <c r="Q10" s="2" t="b">
        <f t="shared" si="1"/>
        <v>0</v>
      </c>
      <c r="R10" s="4">
        <f t="shared" si="3"/>
        <v>4</v>
      </c>
      <c r="S10" s="3" t="str">
        <f>IF(Q10,IF(P10,_xll.PERTValue(L10,M10,N10,R10),0),"")</f>
        <v/>
      </c>
      <c r="T10" s="5" t="str">
        <f>IF(Q10,_xll.SimulationRSquared(S$23,S10),"")</f>
        <v/>
      </c>
    </row>
    <row r="11" spans="1:20" x14ac:dyDescent="0.25">
      <c r="A11" t="str">
        <f>IF(Inputs!B12&lt;&gt;"",Inputs!B12,"")</f>
        <v/>
      </c>
      <c r="B11" s="3">
        <f>Inputs!E12</f>
        <v>0</v>
      </c>
      <c r="C11" s="3">
        <f>Inputs!F12</f>
        <v>0</v>
      </c>
      <c r="D11" s="3">
        <f>Inputs!G12</f>
        <v>0</v>
      </c>
      <c r="E11" s="2">
        <f>Inputs!D12</f>
        <v>0</v>
      </c>
      <c r="F11" s="2" t="b">
        <f>_xll.ProbabilityValue(E11)</f>
        <v>0</v>
      </c>
      <c r="G11" s="2" t="b">
        <f t="shared" si="0"/>
        <v>0</v>
      </c>
      <c r="H11" s="4">
        <f t="shared" si="2"/>
        <v>4</v>
      </c>
      <c r="I11" s="3" t="str">
        <f>IF(G11,IF(F11,_xll.PERTValue(B11,C11,D11,H11),0),"")</f>
        <v/>
      </c>
      <c r="J11" s="5" t="str">
        <f>IF(G11,_xll.SimulationRSquared(I$23,I11),"")</f>
        <v/>
      </c>
      <c r="L11" s="3">
        <f>Inputs!J12</f>
        <v>0</v>
      </c>
      <c r="M11" s="3">
        <f>Inputs!K12</f>
        <v>0</v>
      </c>
      <c r="N11" s="3">
        <f>Inputs!L12</f>
        <v>0</v>
      </c>
      <c r="O11" s="2">
        <f>Inputs!I12</f>
        <v>0</v>
      </c>
      <c r="P11" s="2" t="b">
        <f>_xll.ProbabilityValue(O11)</f>
        <v>0</v>
      </c>
      <c r="Q11" s="2" t="b">
        <f t="shared" si="1"/>
        <v>0</v>
      </c>
      <c r="R11" s="4">
        <f t="shared" si="3"/>
        <v>4</v>
      </c>
      <c r="S11" s="3" t="str">
        <f>IF(Q11,IF(P11,_xll.PERTValue(L11,M11,N11,R11),0),"")</f>
        <v/>
      </c>
      <c r="T11" s="5" t="str">
        <f>IF(Q11,_xll.SimulationRSquared(S$23,S11),"")</f>
        <v/>
      </c>
    </row>
    <row r="12" spans="1:20" x14ac:dyDescent="0.25">
      <c r="A12" t="str">
        <f>IF(Inputs!B13&lt;&gt;"",Inputs!B13,"")</f>
        <v/>
      </c>
      <c r="B12" s="3">
        <f>Inputs!E13</f>
        <v>0</v>
      </c>
      <c r="C12" s="3">
        <f>Inputs!F13</f>
        <v>0</v>
      </c>
      <c r="D12" s="3">
        <f>Inputs!G13</f>
        <v>0</v>
      </c>
      <c r="E12" s="2">
        <f>Inputs!D13</f>
        <v>0</v>
      </c>
      <c r="F12" s="2" t="b">
        <f>_xll.ProbabilityValue(E12)</f>
        <v>0</v>
      </c>
      <c r="G12" s="2" t="b">
        <f t="shared" si="0"/>
        <v>0</v>
      </c>
      <c r="H12" s="4">
        <f t="shared" si="2"/>
        <v>4</v>
      </c>
      <c r="I12" s="3" t="str">
        <f>IF(G12,IF(F12,_xll.PERTValue(B12,C12,D12,H12),0),"")</f>
        <v/>
      </c>
      <c r="J12" s="5" t="str">
        <f>IF(G12,_xll.SimulationRSquared(I$23,I12),"")</f>
        <v/>
      </c>
      <c r="L12" s="3">
        <f>Inputs!J13</f>
        <v>0</v>
      </c>
      <c r="M12" s="3">
        <f>Inputs!K13</f>
        <v>0</v>
      </c>
      <c r="N12" s="3">
        <f>Inputs!L13</f>
        <v>0</v>
      </c>
      <c r="O12" s="2">
        <f>Inputs!I13</f>
        <v>0</v>
      </c>
      <c r="P12" s="2" t="b">
        <f>_xll.ProbabilityValue(O12)</f>
        <v>0</v>
      </c>
      <c r="Q12" s="2" t="b">
        <f t="shared" si="1"/>
        <v>0</v>
      </c>
      <c r="R12" s="4">
        <f t="shared" si="3"/>
        <v>4</v>
      </c>
      <c r="S12" s="3" t="str">
        <f>IF(Q12,IF(P12,_xll.PERTValue(L12,M12,N12,R12),0),"")</f>
        <v/>
      </c>
      <c r="T12" s="5" t="str">
        <f>IF(Q12,_xll.SimulationRSquared(S$23,S12),"")</f>
        <v/>
      </c>
    </row>
    <row r="13" spans="1:20" x14ac:dyDescent="0.25">
      <c r="A13" t="str">
        <f>IF(Inputs!B14&lt;&gt;"",Inputs!B14,"")</f>
        <v/>
      </c>
      <c r="B13" s="3">
        <f>Inputs!E14</f>
        <v>0</v>
      </c>
      <c r="C13" s="3">
        <f>Inputs!F14</f>
        <v>0</v>
      </c>
      <c r="D13" s="3">
        <f>Inputs!G14</f>
        <v>0</v>
      </c>
      <c r="E13" s="2">
        <f>Inputs!D14</f>
        <v>0</v>
      </c>
      <c r="F13" s="2" t="b">
        <f>_xll.ProbabilityValue(E13)</f>
        <v>0</v>
      </c>
      <c r="G13" s="2" t="b">
        <f t="shared" si="0"/>
        <v>0</v>
      </c>
      <c r="H13" s="4">
        <f t="shared" si="2"/>
        <v>4</v>
      </c>
      <c r="I13" s="3" t="str">
        <f>IF(G13,IF(F13,_xll.PERTValue(B13,C13,D13,H13),0),"")</f>
        <v/>
      </c>
      <c r="J13" s="5" t="str">
        <f>IF(G13,_xll.SimulationRSquared(I$23,I13),"")</f>
        <v/>
      </c>
      <c r="L13" s="3">
        <f>Inputs!J14</f>
        <v>0</v>
      </c>
      <c r="M13" s="3">
        <f>Inputs!K14</f>
        <v>0</v>
      </c>
      <c r="N13" s="3">
        <f>Inputs!L14</f>
        <v>0</v>
      </c>
      <c r="O13" s="2">
        <f>Inputs!I14</f>
        <v>0</v>
      </c>
      <c r="P13" s="2" t="b">
        <f>_xll.ProbabilityValue(O13)</f>
        <v>0</v>
      </c>
      <c r="Q13" s="2" t="b">
        <f t="shared" si="1"/>
        <v>0</v>
      </c>
      <c r="R13" s="4">
        <f t="shared" si="3"/>
        <v>4</v>
      </c>
      <c r="S13" s="3" t="str">
        <f>IF(Q13,IF(P13,_xll.PERTValue(L13,M13,N13,R13),0),"")</f>
        <v/>
      </c>
      <c r="T13" s="5" t="str">
        <f>IF(Q13,_xll.SimulationRSquared(S$23,S13),"")</f>
        <v/>
      </c>
    </row>
    <row r="14" spans="1:20" x14ac:dyDescent="0.25">
      <c r="A14" t="str">
        <f>IF(Inputs!B15&lt;&gt;"",Inputs!B15,"")</f>
        <v/>
      </c>
      <c r="B14" s="3">
        <f>Inputs!E15</f>
        <v>0</v>
      </c>
      <c r="C14" s="3">
        <f>Inputs!F15</f>
        <v>0</v>
      </c>
      <c r="D14" s="3">
        <f>Inputs!G15</f>
        <v>0</v>
      </c>
      <c r="E14" s="2">
        <f>Inputs!D15</f>
        <v>0</v>
      </c>
      <c r="F14" s="2" t="b">
        <f>_xll.ProbabilityValue(E14)</f>
        <v>0</v>
      </c>
      <c r="G14" s="2" t="b">
        <f t="shared" si="0"/>
        <v>0</v>
      </c>
      <c r="H14" s="4">
        <f t="shared" si="2"/>
        <v>4</v>
      </c>
      <c r="I14" s="3" t="str">
        <f>IF(G14,IF(F14,_xll.PERTValue(B14,C14,D14,H14),0),"")</f>
        <v/>
      </c>
      <c r="J14" s="5" t="str">
        <f>IF(G14,_xll.SimulationRSquared(I$23,I14),"")</f>
        <v/>
      </c>
      <c r="L14" s="3">
        <f>Inputs!J15</f>
        <v>0</v>
      </c>
      <c r="M14" s="3">
        <f>Inputs!K15</f>
        <v>0</v>
      </c>
      <c r="N14" s="3">
        <f>Inputs!L15</f>
        <v>0</v>
      </c>
      <c r="O14" s="2">
        <f>Inputs!I15</f>
        <v>0</v>
      </c>
      <c r="P14" s="2" t="b">
        <f>_xll.ProbabilityValue(O14)</f>
        <v>0</v>
      </c>
      <c r="Q14" s="2" t="b">
        <f t="shared" si="1"/>
        <v>0</v>
      </c>
      <c r="R14" s="4">
        <f t="shared" si="3"/>
        <v>4</v>
      </c>
      <c r="S14" s="3" t="str">
        <f>IF(Q14,IF(P14,_xll.PERTValue(L14,M14,N14,R14),0),"")</f>
        <v/>
      </c>
      <c r="T14" s="5" t="str">
        <f>IF(Q14,_xll.SimulationRSquared(S$23,S14),"")</f>
        <v/>
      </c>
    </row>
    <row r="15" spans="1:20" x14ac:dyDescent="0.25">
      <c r="A15" t="str">
        <f>IF(Inputs!B16&lt;&gt;"",Inputs!B16,"")</f>
        <v/>
      </c>
      <c r="B15" s="3">
        <f>Inputs!E16</f>
        <v>0</v>
      </c>
      <c r="C15" s="3">
        <f>Inputs!F16</f>
        <v>0</v>
      </c>
      <c r="D15" s="3">
        <f>Inputs!G16</f>
        <v>0</v>
      </c>
      <c r="E15" s="2">
        <f>Inputs!D16</f>
        <v>0</v>
      </c>
      <c r="F15" s="2" t="b">
        <f>_xll.ProbabilityValue(E15)</f>
        <v>0</v>
      </c>
      <c r="G15" s="2" t="b">
        <f t="shared" si="0"/>
        <v>0</v>
      </c>
      <c r="H15" s="4">
        <f t="shared" si="2"/>
        <v>4</v>
      </c>
      <c r="I15" s="3" t="str">
        <f>IF(G15,IF(F15,_xll.PERTValue(B15,C15,D15,H15),0),"")</f>
        <v/>
      </c>
      <c r="J15" s="5" t="str">
        <f>IF(G15,_xll.SimulationRSquared(I$23,I15),"")</f>
        <v/>
      </c>
      <c r="L15" s="3">
        <f>Inputs!J16</f>
        <v>0</v>
      </c>
      <c r="M15" s="3">
        <f>Inputs!K16</f>
        <v>0</v>
      </c>
      <c r="N15" s="3">
        <f>Inputs!L16</f>
        <v>0</v>
      </c>
      <c r="O15" s="2">
        <f>Inputs!I16</f>
        <v>0</v>
      </c>
      <c r="P15" s="2" t="b">
        <f>_xll.ProbabilityValue(O15)</f>
        <v>0</v>
      </c>
      <c r="Q15" s="2" t="b">
        <f t="shared" si="1"/>
        <v>0</v>
      </c>
      <c r="R15" s="4">
        <f t="shared" si="3"/>
        <v>4</v>
      </c>
      <c r="S15" s="3" t="str">
        <f>IF(Q15,IF(P15,_xll.PERTValue(L15,M15,N15,R15),0),"")</f>
        <v/>
      </c>
      <c r="T15" s="5" t="str">
        <f>IF(Q15,_xll.SimulationRSquared(S$23,S15),"")</f>
        <v/>
      </c>
    </row>
    <row r="16" spans="1:20" x14ac:dyDescent="0.25">
      <c r="A16" t="str">
        <f>IF(Inputs!B17&lt;&gt;"",Inputs!B17,"")</f>
        <v/>
      </c>
      <c r="B16" s="3">
        <f>Inputs!E17</f>
        <v>0</v>
      </c>
      <c r="C16" s="3">
        <f>Inputs!F17</f>
        <v>0</v>
      </c>
      <c r="D16" s="3">
        <f>Inputs!G17</f>
        <v>0</v>
      </c>
      <c r="E16" s="2">
        <f>Inputs!D17</f>
        <v>0</v>
      </c>
      <c r="F16" s="2" t="b">
        <f>_xll.ProbabilityValue(E16)</f>
        <v>0</v>
      </c>
      <c r="G16" s="2" t="b">
        <f t="shared" si="0"/>
        <v>0</v>
      </c>
      <c r="H16" s="4">
        <f t="shared" si="2"/>
        <v>4</v>
      </c>
      <c r="I16" s="3" t="str">
        <f>IF(G16,IF(F16,_xll.PERTValue(B16,C16,D16,H16),0),"")</f>
        <v/>
      </c>
      <c r="J16" s="5" t="str">
        <f>IF(G16,_xll.SimulationRSquared(I$23,I16),"")</f>
        <v/>
      </c>
      <c r="L16" s="3">
        <f>Inputs!J17</f>
        <v>0</v>
      </c>
      <c r="M16" s="3">
        <f>Inputs!K17</f>
        <v>0</v>
      </c>
      <c r="N16" s="3">
        <f>Inputs!L17</f>
        <v>0</v>
      </c>
      <c r="O16" s="2">
        <f>Inputs!I17</f>
        <v>0</v>
      </c>
      <c r="P16" s="2" t="b">
        <f>_xll.ProbabilityValue(O16)</f>
        <v>0</v>
      </c>
      <c r="Q16" s="2" t="b">
        <f t="shared" si="1"/>
        <v>0</v>
      </c>
      <c r="R16" s="4">
        <f t="shared" si="3"/>
        <v>4</v>
      </c>
      <c r="S16" s="3" t="str">
        <f>IF(Q16,IF(P16,_xll.PERTValue(L16,M16,N16,R16),0),"")</f>
        <v/>
      </c>
      <c r="T16" s="5" t="str">
        <f>IF(Q16,_xll.SimulationRSquared(S$23,S16),"")</f>
        <v/>
      </c>
    </row>
    <row r="17" spans="1:20" x14ac:dyDescent="0.25">
      <c r="A17" t="str">
        <f>IF(Inputs!B18&lt;&gt;"",Inputs!B18,"")</f>
        <v/>
      </c>
      <c r="B17" s="3">
        <f>Inputs!E18</f>
        <v>0</v>
      </c>
      <c r="C17" s="3">
        <f>Inputs!F18</f>
        <v>0</v>
      </c>
      <c r="D17" s="3">
        <f>Inputs!G18</f>
        <v>0</v>
      </c>
      <c r="E17" s="2">
        <f>Inputs!D18</f>
        <v>0</v>
      </c>
      <c r="F17" s="2" t="b">
        <f>_xll.ProbabilityValue(E17)</f>
        <v>0</v>
      </c>
      <c r="G17" s="2" t="b">
        <f t="shared" si="0"/>
        <v>0</v>
      </c>
      <c r="H17" s="4">
        <f t="shared" si="2"/>
        <v>4</v>
      </c>
      <c r="I17" s="3" t="str">
        <f>IF(G17,IF(F17,_xll.PERTValue(B17,C17,D17,H17),0),"")</f>
        <v/>
      </c>
      <c r="J17" s="5" t="str">
        <f>IF(G17,_xll.SimulationRSquared(I$23,I17),"")</f>
        <v/>
      </c>
      <c r="L17" s="3">
        <f>Inputs!J18</f>
        <v>0</v>
      </c>
      <c r="M17" s="3">
        <f>Inputs!K18</f>
        <v>0</v>
      </c>
      <c r="N17" s="3">
        <f>Inputs!L18</f>
        <v>0</v>
      </c>
      <c r="O17" s="2">
        <f>Inputs!I18</f>
        <v>0</v>
      </c>
      <c r="P17" s="2" t="b">
        <f>_xll.ProbabilityValue(O17)</f>
        <v>0</v>
      </c>
      <c r="Q17" s="2" t="b">
        <f t="shared" si="1"/>
        <v>0</v>
      </c>
      <c r="R17" s="4">
        <f t="shared" si="3"/>
        <v>4</v>
      </c>
      <c r="S17" s="3" t="str">
        <f>IF(Q17,IF(P17,_xll.PERTValue(L17,M17,N17,R17),0),"")</f>
        <v/>
      </c>
      <c r="T17" s="5" t="str">
        <f>IF(Q17,_xll.SimulationRSquared(S$23,S17),"")</f>
        <v/>
      </c>
    </row>
    <row r="18" spans="1:20" x14ac:dyDescent="0.25">
      <c r="A18" t="str">
        <f>IF(Inputs!B19&lt;&gt;"",Inputs!B19,"")</f>
        <v/>
      </c>
      <c r="B18" s="3">
        <f>Inputs!E19</f>
        <v>0</v>
      </c>
      <c r="C18" s="3">
        <f>Inputs!F19</f>
        <v>0</v>
      </c>
      <c r="D18" s="3">
        <f>Inputs!G19</f>
        <v>0</v>
      </c>
      <c r="E18" s="2">
        <f>Inputs!D19</f>
        <v>0</v>
      </c>
      <c r="F18" s="2" t="b">
        <f>_xll.ProbabilityValue(E18)</f>
        <v>0</v>
      </c>
      <c r="G18" s="2" t="b">
        <f t="shared" si="0"/>
        <v>0</v>
      </c>
      <c r="H18" s="4">
        <f t="shared" si="2"/>
        <v>4</v>
      </c>
      <c r="I18" s="3" t="str">
        <f>IF(G18,IF(F18,_xll.PERTValue(B18,C18,D18,H18),0),"")</f>
        <v/>
      </c>
      <c r="J18" s="5" t="str">
        <f>IF(G18,_xll.SimulationRSquared(I$23,I18),"")</f>
        <v/>
      </c>
      <c r="L18" s="3">
        <f>Inputs!J19</f>
        <v>0</v>
      </c>
      <c r="M18" s="3">
        <f>Inputs!K19</f>
        <v>0</v>
      </c>
      <c r="N18" s="3">
        <f>Inputs!L19</f>
        <v>0</v>
      </c>
      <c r="O18" s="2">
        <f>Inputs!I19</f>
        <v>0</v>
      </c>
      <c r="P18" s="2" t="b">
        <f>_xll.ProbabilityValue(O18)</f>
        <v>0</v>
      </c>
      <c r="Q18" s="2" t="b">
        <f t="shared" si="1"/>
        <v>0</v>
      </c>
      <c r="R18" s="4">
        <f t="shared" si="3"/>
        <v>4</v>
      </c>
      <c r="S18" s="3" t="str">
        <f>IF(Q18,IF(P18,_xll.PERTValue(L18,M18,N18,R18),0),"")</f>
        <v/>
      </c>
      <c r="T18" s="5" t="str">
        <f>IF(Q18,_xll.SimulationRSquared(S$23,S18),"")</f>
        <v/>
      </c>
    </row>
    <row r="19" spans="1:20" x14ac:dyDescent="0.25">
      <c r="A19" t="str">
        <f>IF(Inputs!B20&lt;&gt;"",Inputs!B20,"")</f>
        <v/>
      </c>
      <c r="B19" s="3">
        <f>Inputs!E20</f>
        <v>0</v>
      </c>
      <c r="C19" s="3">
        <f>Inputs!F20</f>
        <v>0</v>
      </c>
      <c r="D19" s="3">
        <f>Inputs!G20</f>
        <v>0</v>
      </c>
      <c r="E19" s="2">
        <f>Inputs!D20</f>
        <v>0</v>
      </c>
      <c r="F19" s="2" t="b">
        <f>_xll.ProbabilityValue(E19)</f>
        <v>0</v>
      </c>
      <c r="G19" s="2" t="b">
        <f t="shared" si="0"/>
        <v>0</v>
      </c>
      <c r="H19" s="4">
        <f t="shared" si="2"/>
        <v>4</v>
      </c>
      <c r="I19" s="3" t="str">
        <f>IF(G19,IF(F19,_xll.PERTValue(B19,C19,D19,H19),0),"")</f>
        <v/>
      </c>
      <c r="J19" s="5" t="str">
        <f>IF(G19,_xll.SimulationRSquared(I$23,I19),"")</f>
        <v/>
      </c>
      <c r="L19" s="3">
        <f>Inputs!J20</f>
        <v>0</v>
      </c>
      <c r="M19" s="3">
        <f>Inputs!K20</f>
        <v>0</v>
      </c>
      <c r="N19" s="3">
        <f>Inputs!L20</f>
        <v>0</v>
      </c>
      <c r="O19" s="2">
        <f>Inputs!I20</f>
        <v>0</v>
      </c>
      <c r="P19" s="2" t="b">
        <f>_xll.ProbabilityValue(O19)</f>
        <v>0</v>
      </c>
      <c r="Q19" s="2" t="b">
        <f t="shared" si="1"/>
        <v>0</v>
      </c>
      <c r="R19" s="4">
        <f t="shared" si="3"/>
        <v>4</v>
      </c>
      <c r="S19" s="3" t="str">
        <f>IF(Q19,IF(P19,_xll.PERTValue(L19,M19,N19,R19),0),"")</f>
        <v/>
      </c>
      <c r="T19" s="5" t="str">
        <f>IF(Q19,_xll.SimulationRSquared(S$23,S19),"")</f>
        <v/>
      </c>
    </row>
    <row r="20" spans="1:20" x14ac:dyDescent="0.25">
      <c r="A20" t="str">
        <f>IF(Inputs!B21&lt;&gt;"",Inputs!B21,"")</f>
        <v/>
      </c>
      <c r="B20" s="3">
        <f>Inputs!E21</f>
        <v>0</v>
      </c>
      <c r="C20" s="3">
        <f>Inputs!F21</f>
        <v>0</v>
      </c>
      <c r="D20" s="3">
        <f>Inputs!G21</f>
        <v>0</v>
      </c>
      <c r="E20" s="2">
        <f>Inputs!D21</f>
        <v>0</v>
      </c>
      <c r="F20" s="2" t="b">
        <f>_xll.ProbabilityValue(E20)</f>
        <v>0</v>
      </c>
      <c r="G20" s="2" t="b">
        <f t="shared" si="0"/>
        <v>0</v>
      </c>
      <c r="H20" s="4">
        <f t="shared" si="2"/>
        <v>4</v>
      </c>
      <c r="I20" s="3" t="str">
        <f>IF(G20,IF(F20,_xll.PERTValue(B20,C20,D20,H20),0),"")</f>
        <v/>
      </c>
      <c r="J20" s="5" t="str">
        <f>IF(G20,_xll.SimulationRSquared(I$23,I20),"")</f>
        <v/>
      </c>
      <c r="L20" s="3">
        <f>Inputs!J21</f>
        <v>0</v>
      </c>
      <c r="M20" s="3">
        <f>Inputs!K21</f>
        <v>0</v>
      </c>
      <c r="N20" s="3">
        <f>Inputs!L21</f>
        <v>0</v>
      </c>
      <c r="O20" s="2">
        <f>Inputs!I21</f>
        <v>0</v>
      </c>
      <c r="P20" s="2" t="b">
        <f>_xll.ProbabilityValue(O20)</f>
        <v>0</v>
      </c>
      <c r="Q20" s="2" t="b">
        <f t="shared" si="1"/>
        <v>0</v>
      </c>
      <c r="R20" s="4">
        <f t="shared" si="3"/>
        <v>4</v>
      </c>
      <c r="S20" s="3" t="str">
        <f>IF(Q20,IF(P20,_xll.PERTValue(L20,M20,N20,R20),0),"")</f>
        <v/>
      </c>
      <c r="T20" s="5" t="str">
        <f>IF(Q20,_xll.SimulationRSquared(S$23,S20),"")</f>
        <v/>
      </c>
    </row>
    <row r="21" spans="1:20" x14ac:dyDescent="0.25">
      <c r="A21" t="str">
        <f>IF(Inputs!B22&lt;&gt;"",Inputs!B22,"")</f>
        <v/>
      </c>
      <c r="B21" s="3">
        <f>Inputs!E22</f>
        <v>0</v>
      </c>
      <c r="C21" s="3">
        <f>Inputs!F22</f>
        <v>0</v>
      </c>
      <c r="D21" s="3">
        <f>Inputs!G22</f>
        <v>0</v>
      </c>
      <c r="E21" s="2">
        <f>Inputs!D22</f>
        <v>0</v>
      </c>
      <c r="F21" s="2" t="b">
        <f>_xll.ProbabilityValue(E21)</f>
        <v>0</v>
      </c>
      <c r="G21" s="2" t="b">
        <f t="shared" si="0"/>
        <v>0</v>
      </c>
      <c r="H21" s="4">
        <f t="shared" si="2"/>
        <v>4</v>
      </c>
      <c r="I21" s="3" t="str">
        <f>IF(G21,IF(F21,_xll.PERTValue(B21,C21,D21,H21),0),"")</f>
        <v/>
      </c>
      <c r="J21" s="5" t="str">
        <f>IF(G21,_xll.SimulationRSquared(I$23,I21),"")</f>
        <v/>
      </c>
      <c r="L21" s="3">
        <f>Inputs!J22</f>
        <v>0</v>
      </c>
      <c r="M21" s="3">
        <f>Inputs!K22</f>
        <v>0</v>
      </c>
      <c r="N21" s="3">
        <f>Inputs!L22</f>
        <v>0</v>
      </c>
      <c r="O21" s="2">
        <f>Inputs!I22</f>
        <v>0</v>
      </c>
      <c r="P21" s="2" t="b">
        <f>_xll.ProbabilityValue(O21)</f>
        <v>0</v>
      </c>
      <c r="Q21" s="2" t="b">
        <f t="shared" si="1"/>
        <v>0</v>
      </c>
      <c r="R21" s="4">
        <f t="shared" si="3"/>
        <v>4</v>
      </c>
      <c r="S21" s="3" t="str">
        <f>IF(Q21,IF(P21,_xll.PERTValue(L21,M21,N21,R21),0),"")</f>
        <v/>
      </c>
      <c r="T21" s="5" t="str">
        <f>IF(Q21,_xll.SimulationRSquared(S$23,S21),"")</f>
        <v/>
      </c>
    </row>
    <row r="22" spans="1:20" ht="15.75" thickBot="1" x14ac:dyDescent="0.3">
      <c r="A22" t="str">
        <f>IF(Inputs!B23&lt;&gt;"",Inputs!B23,"")</f>
        <v/>
      </c>
      <c r="B22" s="24">
        <f>Inputs!E23</f>
        <v>0</v>
      </c>
      <c r="C22" s="24">
        <f>Inputs!F23</f>
        <v>0</v>
      </c>
      <c r="D22" s="24">
        <f>Inputs!G23</f>
        <v>0</v>
      </c>
      <c r="E22" s="2">
        <f>Inputs!D23</f>
        <v>0</v>
      </c>
      <c r="F22" s="2" t="b">
        <f>_xll.ProbabilityValue(E22)</f>
        <v>0</v>
      </c>
      <c r="G22" s="2" t="b">
        <f t="shared" si="0"/>
        <v>0</v>
      </c>
      <c r="H22" s="4">
        <f t="shared" si="2"/>
        <v>4</v>
      </c>
      <c r="I22" s="24" t="str">
        <f>IF(G22,IF(F22,_xll.PERTValue(B22,C22,D22,H22),0),"")</f>
        <v/>
      </c>
      <c r="J22" s="5" t="str">
        <f>IF(G22,_xll.SimulationRSquared(I$23,I22),"")</f>
        <v/>
      </c>
      <c r="L22" s="24">
        <f>Inputs!J23</f>
        <v>0</v>
      </c>
      <c r="M22" s="24">
        <f>Inputs!K23</f>
        <v>0</v>
      </c>
      <c r="N22" s="24">
        <f>Inputs!L23</f>
        <v>0</v>
      </c>
      <c r="O22" s="2">
        <f>Inputs!I23</f>
        <v>0</v>
      </c>
      <c r="P22" s="2" t="b">
        <f>_xll.ProbabilityValue(O22)</f>
        <v>0</v>
      </c>
      <c r="Q22" s="2" t="b">
        <f t="shared" si="1"/>
        <v>0</v>
      </c>
      <c r="R22" s="4">
        <f t="shared" si="3"/>
        <v>4</v>
      </c>
      <c r="S22" s="24" t="str">
        <f>IF(Q22,IF(P22,_xll.PERTValue(L22,M22,N22,R22),0),"")</f>
        <v/>
      </c>
      <c r="T22" s="5" t="str">
        <f>IF(Q22,_xll.SimulationRSquared(S$23,S22),"")</f>
        <v/>
      </c>
    </row>
    <row r="23" spans="1:20" ht="15.75" thickTop="1" x14ac:dyDescent="0.25">
      <c r="B23" s="3">
        <f t="shared" ref="B23:C23" si="4">SUM(B3:B22)</f>
        <v>745000</v>
      </c>
      <c r="C23" s="3">
        <f t="shared" si="4"/>
        <v>1150000</v>
      </c>
      <c r="D23" s="3">
        <f>SUM(D3:D22)</f>
        <v>1708000</v>
      </c>
      <c r="E23" s="2"/>
      <c r="F23" s="2"/>
      <c r="G23" s="2"/>
      <c r="H23" s="4"/>
      <c r="I23" s="3">
        <f>SUM(I3:I22)</f>
        <v>391018.86235470179</v>
      </c>
      <c r="L23" s="3">
        <f t="shared" ref="L23" si="5">SUM(L3:L22)</f>
        <v>355000</v>
      </c>
      <c r="M23" s="3">
        <f t="shared" ref="M23" si="6">SUM(M3:M22)</f>
        <v>595000</v>
      </c>
      <c r="N23" s="3">
        <f>SUM(N3:N22)</f>
        <v>890000</v>
      </c>
      <c r="O23" s="2"/>
      <c r="P23" s="2"/>
      <c r="Q23" s="2"/>
      <c r="R23" s="4"/>
      <c r="S23" s="3">
        <f>SUM(S3:S22)</f>
        <v>169414.33239044825</v>
      </c>
    </row>
    <row r="24" spans="1:20" x14ac:dyDescent="0.25">
      <c r="B24" s="3"/>
      <c r="C24" s="3"/>
      <c r="D24" s="3"/>
      <c r="E24" s="2"/>
      <c r="F24" s="2"/>
      <c r="G24" s="2"/>
      <c r="H24" s="4"/>
      <c r="L24" s="3"/>
      <c r="M24" s="3"/>
      <c r="N24" s="3"/>
      <c r="O24" s="2"/>
      <c r="P24" s="2"/>
      <c r="Q24" s="2"/>
      <c r="R24" s="4"/>
    </row>
    <row r="25" spans="1:20" x14ac:dyDescent="0.25">
      <c r="B25" s="3"/>
      <c r="C25" s="3"/>
      <c r="D25" s="3"/>
      <c r="E25" s="2"/>
      <c r="F25" s="2"/>
      <c r="G25" s="2"/>
      <c r="H25" s="4"/>
      <c r="L25" s="3"/>
      <c r="M25" s="3"/>
      <c r="N25" s="3"/>
      <c r="O25" s="2"/>
      <c r="P25" s="2"/>
      <c r="Q25" s="2"/>
      <c r="R25" s="4"/>
    </row>
    <row r="26" spans="1:20" x14ac:dyDescent="0.25">
      <c r="B26" s="3"/>
      <c r="C26" s="3"/>
      <c r="D26" s="3"/>
      <c r="E26" s="2"/>
      <c r="F26" s="2"/>
      <c r="G26" s="2"/>
      <c r="H26" s="4"/>
      <c r="L26" s="3"/>
      <c r="M26" s="3"/>
      <c r="N26" s="3"/>
      <c r="O26" s="2"/>
      <c r="P26" s="2"/>
      <c r="Q26" s="2"/>
      <c r="R26" s="4"/>
    </row>
    <row r="27" spans="1:20" x14ac:dyDescent="0.25">
      <c r="B27" s="3"/>
      <c r="C27" s="3"/>
      <c r="D27" s="3"/>
      <c r="E27" s="2"/>
      <c r="F27" s="2"/>
      <c r="G27" s="2"/>
      <c r="H27" s="4"/>
      <c r="L27" s="3"/>
      <c r="M27" s="3"/>
      <c r="N27" s="3"/>
      <c r="O27" s="2"/>
      <c r="P27" s="2"/>
      <c r="Q27" s="2"/>
      <c r="R27" s="4"/>
    </row>
    <row r="28" spans="1:20" x14ac:dyDescent="0.25">
      <c r="B28" s="3"/>
      <c r="C28" s="3"/>
      <c r="D28" s="3"/>
      <c r="E28" s="2"/>
      <c r="F28" s="2"/>
      <c r="G28" s="2"/>
      <c r="H28" s="4"/>
      <c r="L28" s="3"/>
      <c r="M28" s="3"/>
      <c r="N28" s="3"/>
      <c r="O28" s="2"/>
      <c r="P28" s="2"/>
      <c r="Q28" s="2"/>
      <c r="R28" s="4"/>
    </row>
    <row r="29" spans="1:20" x14ac:dyDescent="0.25">
      <c r="B29" s="3"/>
      <c r="C29" s="3"/>
      <c r="D29" s="3"/>
      <c r="E29" s="2"/>
      <c r="F29" s="2"/>
      <c r="G29" s="2"/>
      <c r="H29" s="4"/>
      <c r="L29" s="3"/>
      <c r="M29" s="3"/>
      <c r="N29" s="3"/>
      <c r="O29" s="2"/>
      <c r="P29" s="2"/>
      <c r="Q29" s="2"/>
      <c r="R29" s="4"/>
    </row>
    <row r="30" spans="1:20" x14ac:dyDescent="0.25">
      <c r="B30" s="3"/>
      <c r="C30" s="3"/>
      <c r="D30" s="3"/>
      <c r="E30" s="2"/>
      <c r="F30" s="2"/>
      <c r="G30" s="2"/>
      <c r="H30" s="4"/>
      <c r="L30" s="3"/>
      <c r="M30" s="3"/>
      <c r="N30" s="3"/>
      <c r="O30" s="2"/>
      <c r="P30" s="2"/>
      <c r="Q30" s="2"/>
      <c r="R30" s="4"/>
    </row>
    <row r="31" spans="1:20" x14ac:dyDescent="0.25">
      <c r="B31" s="3"/>
      <c r="C31" s="3"/>
      <c r="D31" s="3"/>
      <c r="E31" s="2"/>
      <c r="F31" s="2"/>
      <c r="G31" s="2"/>
      <c r="H31" s="4"/>
      <c r="L31" s="3"/>
      <c r="M31" s="3"/>
      <c r="N31" s="3"/>
      <c r="O31" s="2"/>
      <c r="P31" s="2"/>
      <c r="Q31" s="2"/>
      <c r="R31" s="4"/>
    </row>
    <row r="32" spans="1:20" x14ac:dyDescent="0.25">
      <c r="B32" s="3"/>
      <c r="C32" s="3"/>
      <c r="D32" s="3"/>
      <c r="E32" s="2"/>
      <c r="F32" s="2"/>
      <c r="G32" s="2"/>
      <c r="H32" s="4"/>
      <c r="L32" s="3"/>
      <c r="M32" s="3"/>
      <c r="N32" s="3"/>
      <c r="O32" s="2"/>
      <c r="P32" s="2"/>
      <c r="Q32" s="2"/>
      <c r="R32" s="4"/>
    </row>
    <row r="33" spans="2:18" x14ac:dyDescent="0.25">
      <c r="B33" s="3"/>
      <c r="C33" s="3"/>
      <c r="D33" s="3"/>
      <c r="E33" s="2"/>
      <c r="F33" s="2"/>
      <c r="G33" s="2"/>
      <c r="H33" s="4"/>
      <c r="L33" s="3"/>
      <c r="M33" s="3"/>
      <c r="N33" s="3"/>
      <c r="O33" s="2"/>
      <c r="P33" s="2"/>
      <c r="Q33" s="2"/>
      <c r="R33" s="4"/>
    </row>
    <row r="34" spans="2:18" x14ac:dyDescent="0.25">
      <c r="B34" s="3"/>
      <c r="C34" s="3"/>
      <c r="D34" s="3"/>
      <c r="E34" s="2"/>
      <c r="F34" s="2"/>
      <c r="G34" s="2"/>
      <c r="H34" s="4"/>
      <c r="L34" s="3"/>
      <c r="M34" s="3"/>
      <c r="N34" s="3"/>
      <c r="O34" s="2"/>
      <c r="P34" s="2"/>
      <c r="Q34" s="2"/>
      <c r="R34" s="4"/>
    </row>
    <row r="35" spans="2:18" x14ac:dyDescent="0.25">
      <c r="B35" s="3"/>
      <c r="C35" s="3"/>
      <c r="D35" s="3"/>
      <c r="E35" s="2"/>
      <c r="F35" s="2"/>
      <c r="G35" s="2"/>
      <c r="H35" s="4"/>
      <c r="L35" s="3"/>
      <c r="M35" s="3"/>
      <c r="N35" s="3"/>
      <c r="O35" s="2"/>
      <c r="P35" s="2"/>
      <c r="Q35" s="2"/>
      <c r="R35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7"/>
  <sheetViews>
    <sheetView workbookViewId="0">
      <selection activeCell="K20" sqref="K20"/>
    </sheetView>
  </sheetViews>
  <sheetFormatPr defaultRowHeight="15" x14ac:dyDescent="0.25"/>
  <cols>
    <col min="2" max="2" width="11.28515625" customWidth="1"/>
    <col min="3" max="3" width="11.5703125" bestFit="1" customWidth="1"/>
    <col min="4" max="4" width="10.28515625" customWidth="1"/>
    <col min="5" max="5" width="10.5703125" bestFit="1" customWidth="1"/>
    <col min="6" max="6" width="11.5703125" bestFit="1" customWidth="1"/>
    <col min="9" max="9" width="10.140625" bestFit="1" customWidth="1"/>
    <col min="10" max="11" width="11" customWidth="1"/>
  </cols>
  <sheetData>
    <row r="1" spans="2:14" x14ac:dyDescent="0.25">
      <c r="B1" t="str">
        <f>Inputs!D2</f>
        <v xml:space="preserve"> Current / Expected</v>
      </c>
      <c r="F1" t="s">
        <v>21</v>
      </c>
      <c r="I1" t="str">
        <f>'Model (Random Sampling)'!L1</f>
        <v xml:space="preserve"> Target / Alternative</v>
      </c>
      <c r="M1" t="s">
        <v>21</v>
      </c>
    </row>
    <row r="2" spans="2:14" x14ac:dyDescent="0.25">
      <c r="F2" s="8"/>
      <c r="G2" s="5"/>
      <c r="H2" s="5"/>
    </row>
    <row r="3" spans="2:14" x14ac:dyDescent="0.25">
      <c r="B3" t="s">
        <v>7</v>
      </c>
      <c r="C3" s="3">
        <f>'Model (Random Sampling)'!I23</f>
        <v>391018.86235470179</v>
      </c>
      <c r="F3" s="8">
        <f>D4</f>
        <v>0</v>
      </c>
      <c r="G3" s="5">
        <f>_xll.SimulationInterval($C$3,,Data!F3)</f>
        <v>1.4E-2</v>
      </c>
      <c r="H3" s="5"/>
      <c r="I3" t="s">
        <v>7</v>
      </c>
      <c r="J3" s="3">
        <f>'Model (Random Sampling)'!S23</f>
        <v>169414.33239044825</v>
      </c>
      <c r="M3" s="8">
        <f>K4</f>
        <v>0</v>
      </c>
      <c r="N3" s="5">
        <f>_xll.SimulationInterval($J$3,,Data!M3)</f>
        <v>7.2999999999999995E-2</v>
      </c>
    </row>
    <row r="4" spans="2:14" x14ac:dyDescent="0.25">
      <c r="B4" t="s">
        <v>1</v>
      </c>
      <c r="C4">
        <f>_xll.SimulationMin(C3)</f>
        <v>0</v>
      </c>
      <c r="D4" s="8">
        <f t="shared" ref="D4:D5" si="0">IF(C4=0,0,ROUND(C4,-ROUNDDOWN(LOG10(C4),0)+1))</f>
        <v>0</v>
      </c>
      <c r="F4" s="8">
        <f t="shared" ref="F4:F23" si="1">F3+$C$9</f>
        <v>75000</v>
      </c>
      <c r="G4" s="5">
        <f>_xll.SimulationInterval($C$3,,Data!F4)</f>
        <v>1.4E-2</v>
      </c>
      <c r="H4" s="5"/>
      <c r="I4" t="s">
        <v>1</v>
      </c>
      <c r="J4">
        <f>_xll.SimulationMin(J3)</f>
        <v>0</v>
      </c>
      <c r="K4" s="8">
        <f t="shared" ref="K4:K5" si="2">IF(J4=0,0,ROUND(J4,-ROUNDDOWN(LOG10(J4),0)+1))</f>
        <v>0</v>
      </c>
      <c r="M4" s="8">
        <f>M3+$J$9</f>
        <v>35000</v>
      </c>
      <c r="N4" s="5">
        <f>_xll.SimulationInterval($J$3,,Data!M4)</f>
        <v>7.2999999999999995E-2</v>
      </c>
    </row>
    <row r="5" spans="2:14" x14ac:dyDescent="0.25">
      <c r="B5" t="s">
        <v>2</v>
      </c>
      <c r="C5">
        <f>_xll.SimulationMax(C3)</f>
        <v>1487731.7225981171</v>
      </c>
      <c r="D5" s="8">
        <f t="shared" si="0"/>
        <v>1500000</v>
      </c>
      <c r="F5" s="8">
        <f t="shared" si="1"/>
        <v>150000</v>
      </c>
      <c r="G5" s="5">
        <f>_xll.SimulationInterval($C$3,,Data!F5)</f>
        <v>6.2E-2</v>
      </c>
      <c r="H5" s="5"/>
      <c r="I5" t="s">
        <v>2</v>
      </c>
      <c r="J5">
        <f>_xll.SimulationMax(J3)</f>
        <v>703850.2541777296</v>
      </c>
      <c r="K5" s="8">
        <f t="shared" si="2"/>
        <v>700000</v>
      </c>
      <c r="M5" s="8">
        <f t="shared" ref="M5:M23" si="3">M4+$J$9</f>
        <v>70000</v>
      </c>
      <c r="N5" s="5">
        <f>_xll.SimulationInterval($J$3,,Data!M5)</f>
        <v>0.112</v>
      </c>
    </row>
    <row r="6" spans="2:14" x14ac:dyDescent="0.25">
      <c r="F6" s="8">
        <f t="shared" si="1"/>
        <v>225000</v>
      </c>
      <c r="G6" s="5">
        <f>_xll.SimulationInterval($C$3,,Data!F6)</f>
        <v>6.3E-2</v>
      </c>
      <c r="H6" s="5"/>
      <c r="M6" s="8">
        <f t="shared" si="3"/>
        <v>105000</v>
      </c>
      <c r="N6" s="5">
        <f>_xll.SimulationInterval($J$3,,Data!M6)</f>
        <v>0.22</v>
      </c>
    </row>
    <row r="7" spans="2:14" x14ac:dyDescent="0.25">
      <c r="B7" t="s">
        <v>8</v>
      </c>
      <c r="C7" s="8">
        <f>D5-D4</f>
        <v>1500000</v>
      </c>
      <c r="F7" s="8">
        <f t="shared" si="1"/>
        <v>300000</v>
      </c>
      <c r="G7" s="5">
        <f>_xll.SimulationInterval($C$3,,Data!F7)</f>
        <v>0.09</v>
      </c>
      <c r="H7" s="5"/>
      <c r="I7" t="s">
        <v>8</v>
      </c>
      <c r="J7" s="8">
        <f>K5-K4</f>
        <v>700000</v>
      </c>
      <c r="M7" s="8">
        <f t="shared" si="3"/>
        <v>140000</v>
      </c>
      <c r="N7" s="5">
        <f>_xll.SimulationInterval($J$3,,Data!M7)</f>
        <v>0.26100000000000001</v>
      </c>
    </row>
    <row r="8" spans="2:14" x14ac:dyDescent="0.25">
      <c r="B8" t="s">
        <v>9</v>
      </c>
      <c r="C8" s="3">
        <v>20</v>
      </c>
      <c r="F8" s="8">
        <f t="shared" si="1"/>
        <v>375000</v>
      </c>
      <c r="G8" s="5">
        <f>_xll.SimulationInterval($C$3,,Data!F8)</f>
        <v>0.17100000000000001</v>
      </c>
      <c r="H8" s="5"/>
      <c r="I8" t="s">
        <v>9</v>
      </c>
      <c r="J8" s="3">
        <v>20</v>
      </c>
      <c r="M8" s="8">
        <f t="shared" si="3"/>
        <v>175000</v>
      </c>
      <c r="N8" s="5">
        <f>_xll.SimulationInterval($J$3,,Data!M8)</f>
        <v>0.316</v>
      </c>
    </row>
    <row r="9" spans="2:14" x14ac:dyDescent="0.25">
      <c r="B9" t="s">
        <v>10</v>
      </c>
      <c r="C9" s="8">
        <f>C7/C8</f>
        <v>75000</v>
      </c>
      <c r="F9" s="8">
        <f t="shared" si="1"/>
        <v>450000</v>
      </c>
      <c r="G9" s="5">
        <f>_xll.SimulationInterval($C$3,,Data!F9)</f>
        <v>0.29599999999999999</v>
      </c>
      <c r="H9" s="5"/>
      <c r="I9" t="s">
        <v>10</v>
      </c>
      <c r="J9" s="8">
        <f>J7/J8</f>
        <v>35000</v>
      </c>
      <c r="M9" s="8">
        <f t="shared" si="3"/>
        <v>210000</v>
      </c>
      <c r="N9" s="5">
        <f>_xll.SimulationInterval($J$3,,Data!M9)</f>
        <v>0.40699999999999997</v>
      </c>
    </row>
    <row r="10" spans="2:14" x14ac:dyDescent="0.25">
      <c r="F10" s="8">
        <f t="shared" si="1"/>
        <v>525000</v>
      </c>
      <c r="G10" s="5">
        <f>_xll.SimulationInterval($C$3,,Data!F10)</f>
        <v>0.33300000000000002</v>
      </c>
      <c r="H10" s="5"/>
      <c r="M10" s="8">
        <f t="shared" si="3"/>
        <v>245000</v>
      </c>
      <c r="N10" s="5">
        <f>_xll.SimulationInterval($J$3,,Data!M10)</f>
        <v>0.55200000000000005</v>
      </c>
    </row>
    <row r="11" spans="2:14" x14ac:dyDescent="0.25">
      <c r="B11" t="s">
        <v>11</v>
      </c>
      <c r="F11" s="8">
        <f t="shared" si="1"/>
        <v>600000</v>
      </c>
      <c r="G11" s="5">
        <f>_xll.SimulationInterval($C$3,,Data!F11)</f>
        <v>0.38</v>
      </c>
      <c r="H11" s="5"/>
      <c r="I11" t="s">
        <v>11</v>
      </c>
      <c r="M11" s="8">
        <f t="shared" si="3"/>
        <v>280000</v>
      </c>
      <c r="N11" s="5">
        <f>_xll.SimulationInterval($J$3,,Data!M11)</f>
        <v>0.63900000000000001</v>
      </c>
    </row>
    <row r="12" spans="2:14" x14ac:dyDescent="0.25">
      <c r="B12" t="s">
        <v>12</v>
      </c>
      <c r="C12" s="1" t="s">
        <v>13</v>
      </c>
      <c r="D12" s="1" t="s">
        <v>45</v>
      </c>
      <c r="F12" s="8">
        <f t="shared" si="1"/>
        <v>675000</v>
      </c>
      <c r="G12" s="5">
        <f>_xll.SimulationInterval($C$3,,Data!F12)</f>
        <v>0.47199999999999998</v>
      </c>
      <c r="H12" s="5"/>
      <c r="I12" t="s">
        <v>12</v>
      </c>
      <c r="J12" s="1" t="s">
        <v>13</v>
      </c>
      <c r="K12" s="1" t="s">
        <v>45</v>
      </c>
      <c r="M12" s="8">
        <f t="shared" si="3"/>
        <v>315000</v>
      </c>
      <c r="N12" s="5">
        <f>_xll.SimulationInterval($J$3,,Data!M12)</f>
        <v>0.68700000000000006</v>
      </c>
    </row>
    <row r="13" spans="2:14" x14ac:dyDescent="0.25">
      <c r="B13" s="2">
        <v>0.1</v>
      </c>
      <c r="C13" s="3">
        <f>_xll.SimulationPercentile($C$3,B13)</f>
        <v>308012.77565899387</v>
      </c>
      <c r="D13" s="8">
        <f>IF(C13=0,0,ROUND(C13,-ROUNDDOWN(LOG10(C13),0)+1))</f>
        <v>310000</v>
      </c>
      <c r="F13" s="8">
        <f t="shared" si="1"/>
        <v>750000</v>
      </c>
      <c r="G13" s="5">
        <f>_xll.SimulationInterval($C$3,,Data!F13)</f>
        <v>0.59699999999999998</v>
      </c>
      <c r="H13" s="5"/>
      <c r="I13" s="2">
        <v>0.1</v>
      </c>
      <c r="J13" s="3">
        <f>_xll.SimulationPercentile($J$3,I13)</f>
        <v>68166.554362028881</v>
      </c>
      <c r="K13" s="8">
        <f t="shared" ref="K13:K15" si="4">IF(J13=0,0,ROUND(J13,-ROUNDDOWN(LOG10(J13),0)+1))</f>
        <v>68000</v>
      </c>
      <c r="M13" s="8">
        <f t="shared" si="3"/>
        <v>350000</v>
      </c>
      <c r="N13" s="5">
        <f>_xll.SimulationInterval($J$3,,Data!M13)</f>
        <v>0.73499999999999999</v>
      </c>
    </row>
    <row r="14" spans="2:14" x14ac:dyDescent="0.25">
      <c r="B14" s="2">
        <v>0.5</v>
      </c>
      <c r="C14" s="3">
        <f>_xll.SimulationPercentile($C$3,B14)</f>
        <v>691284.09769062151</v>
      </c>
      <c r="D14" s="8">
        <f t="shared" ref="D14:D18" si="5">IF(C14=0,0,ROUND(C14,-ROUNDDOWN(LOG10(C14),0)+1))</f>
        <v>690000</v>
      </c>
      <c r="F14" s="8">
        <f t="shared" si="1"/>
        <v>825000</v>
      </c>
      <c r="G14" s="5">
        <f>_xll.SimulationInterval($C$3,,Data!F14)</f>
        <v>0.66200000000000003</v>
      </c>
      <c r="H14" s="5"/>
      <c r="I14" s="2">
        <v>0.5</v>
      </c>
      <c r="J14" s="3">
        <f>_xll.SimulationPercentile($J$3,I14)</f>
        <v>232474.68866801093</v>
      </c>
      <c r="K14" s="8">
        <f t="shared" si="4"/>
        <v>230000</v>
      </c>
      <c r="M14" s="8">
        <f t="shared" si="3"/>
        <v>385000</v>
      </c>
      <c r="N14" s="5">
        <f>_xll.SimulationInterval($J$3,,Data!M14)</f>
        <v>0.80500000000000005</v>
      </c>
    </row>
    <row r="15" spans="2:14" x14ac:dyDescent="0.25">
      <c r="B15" s="2">
        <v>0.9</v>
      </c>
      <c r="C15" s="3">
        <f>_xll.SimulationPercentile($C$3,B15)</f>
        <v>1145552.4223250684</v>
      </c>
      <c r="D15" s="8">
        <f t="shared" si="5"/>
        <v>1100000</v>
      </c>
      <c r="F15" s="8">
        <f t="shared" si="1"/>
        <v>900000</v>
      </c>
      <c r="G15" s="5">
        <f>_xll.SimulationInterval($C$3,,Data!F15)</f>
        <v>0.71899999999999997</v>
      </c>
      <c r="H15" s="5"/>
      <c r="I15" s="2">
        <v>0.9</v>
      </c>
      <c r="J15" s="3">
        <f>_xll.SimulationPercentile($J$3,I15)</f>
        <v>445836.85659247381</v>
      </c>
      <c r="K15" s="8">
        <f t="shared" si="4"/>
        <v>450000</v>
      </c>
      <c r="M15" s="8">
        <f t="shared" si="3"/>
        <v>420000</v>
      </c>
      <c r="N15" s="5">
        <f>_xll.SimulationInterval($J$3,,Data!M15)</f>
        <v>0.86499999999999999</v>
      </c>
    </row>
    <row r="16" spans="2:14" x14ac:dyDescent="0.25">
      <c r="F16" s="8">
        <f t="shared" si="1"/>
        <v>975000</v>
      </c>
      <c r="G16" s="5">
        <f>_xll.SimulationInterval($C$3,,Data!F16)</f>
        <v>0.77300000000000002</v>
      </c>
      <c r="H16" s="5"/>
      <c r="M16" s="8">
        <f t="shared" si="3"/>
        <v>455000</v>
      </c>
      <c r="N16" s="5">
        <f>_xll.SimulationInterval($J$3,,Data!M16)</f>
        <v>0.91100000000000003</v>
      </c>
    </row>
    <row r="17" spans="2:14" x14ac:dyDescent="0.25">
      <c r="B17" t="s">
        <v>14</v>
      </c>
      <c r="C17">
        <f>_xll.SimulationMean(C3)</f>
        <v>694286.25042105292</v>
      </c>
      <c r="D17" s="8">
        <f t="shared" si="5"/>
        <v>690000</v>
      </c>
      <c r="F17" s="8">
        <f t="shared" si="1"/>
        <v>1050000</v>
      </c>
      <c r="G17" s="5">
        <f>_xll.SimulationInterval($C$3,,Data!F17)</f>
        <v>0.83499999999999996</v>
      </c>
      <c r="H17" s="5"/>
      <c r="I17" t="s">
        <v>14</v>
      </c>
      <c r="J17">
        <f>_xll.SimulationMean(J3)</f>
        <v>246861.38673245365</v>
      </c>
      <c r="K17" s="8">
        <f t="shared" ref="K17:K18" si="6">IF(J17=0,0,ROUND(J17,-ROUNDDOWN(LOG10(J17),0)+1))</f>
        <v>250000</v>
      </c>
      <c r="M17" s="8">
        <f t="shared" si="3"/>
        <v>490000</v>
      </c>
      <c r="N17" s="5">
        <f>_xll.SimulationInterval($J$3,,Data!M17)</f>
        <v>0.93500000000000005</v>
      </c>
    </row>
    <row r="18" spans="2:14" x14ac:dyDescent="0.25">
      <c r="B18" t="s">
        <v>15</v>
      </c>
      <c r="C18">
        <f>_xll.SimulationMedian(C3)</f>
        <v>691284.09769062151</v>
      </c>
      <c r="D18" s="8">
        <f t="shared" si="5"/>
        <v>690000</v>
      </c>
      <c r="F18" s="8">
        <f t="shared" si="1"/>
        <v>1125000</v>
      </c>
      <c r="G18" s="5">
        <f>_xll.SimulationInterval($C$3,,Data!F18)</f>
        <v>0.89</v>
      </c>
      <c r="H18" s="5"/>
      <c r="I18" t="s">
        <v>15</v>
      </c>
      <c r="J18">
        <f>_xll.SimulationMedian(J3)</f>
        <v>232474.68866801093</v>
      </c>
      <c r="K18" s="8">
        <f t="shared" si="6"/>
        <v>230000</v>
      </c>
      <c r="M18" s="8">
        <f t="shared" si="3"/>
        <v>525000</v>
      </c>
      <c r="N18" s="5">
        <f>_xll.SimulationInterval($J$3,,Data!M18)</f>
        <v>0.95699999999999996</v>
      </c>
    </row>
    <row r="19" spans="2:14" x14ac:dyDescent="0.25">
      <c r="B19" t="s">
        <v>16</v>
      </c>
      <c r="D19" s="8" t="str">
        <f>CONCATENATE(TEXT(D13,"0,0")," - ",TEXT(D15,"0,0"))</f>
        <v>310,000 - 1,100,000</v>
      </c>
      <c r="F19" s="8">
        <f t="shared" si="1"/>
        <v>1200000</v>
      </c>
      <c r="G19" s="5">
        <f>_xll.SimulationInterval($C$3,,Data!F19)</f>
        <v>0.93200000000000005</v>
      </c>
      <c r="H19" s="5"/>
      <c r="I19" t="s">
        <v>16</v>
      </c>
      <c r="K19" s="8" t="str">
        <f>CONCATENATE(TEXT(K13,"0,0")," - ",TEXT(K15,"0,0"))</f>
        <v>68,000 - 450,000</v>
      </c>
      <c r="M19" s="8">
        <f t="shared" si="3"/>
        <v>560000</v>
      </c>
      <c r="N19" s="5">
        <f>_xll.SimulationInterval($J$3,,Data!M19)</f>
        <v>0.96599999999999997</v>
      </c>
    </row>
    <row r="20" spans="2:14" x14ac:dyDescent="0.25">
      <c r="B20" t="s">
        <v>19</v>
      </c>
      <c r="C20" s="10">
        <f>_xll.SimulationSkewness(C3)</f>
        <v>4.259404681611384E-2</v>
      </c>
      <c r="F20" s="8">
        <f t="shared" si="1"/>
        <v>1275000</v>
      </c>
      <c r="G20" s="5">
        <f>_xll.SimulationInterval($C$3,,Data!F20)</f>
        <v>0.96699999999999997</v>
      </c>
      <c r="H20" s="5"/>
      <c r="I20" t="s">
        <v>19</v>
      </c>
      <c r="J20" s="10">
        <f>_xll.SimulationSkewness(J3)</f>
        <v>0.40237723287975119</v>
      </c>
      <c r="M20" s="8">
        <f t="shared" si="3"/>
        <v>595000</v>
      </c>
      <c r="N20" s="5">
        <f>_xll.SimulationInterval($J$3,,Data!M20)</f>
        <v>0.98</v>
      </c>
    </row>
    <row r="21" spans="2:14" x14ac:dyDescent="0.25">
      <c r="B21" t="s">
        <v>17</v>
      </c>
      <c r="C21">
        <f>_xll.SimulationStandardDeviation(C3)</f>
        <v>323993.1877089215</v>
      </c>
      <c r="D21" s="8">
        <f t="shared" ref="D21" si="7">IF(C21=0,0,ROUND(C21,-ROUNDDOWN(LOG10(C21),0)+1))</f>
        <v>320000</v>
      </c>
      <c r="F21" s="8">
        <f t="shared" si="1"/>
        <v>1350000</v>
      </c>
      <c r="G21" s="5">
        <f>_xll.SimulationInterval($C$3,,Data!F21)</f>
        <v>0.98799999999999999</v>
      </c>
      <c r="H21" s="5"/>
      <c r="I21" t="s">
        <v>17</v>
      </c>
      <c r="J21">
        <f>_xll.SimulationStandardDeviation(J3)</f>
        <v>151226.27201159045</v>
      </c>
      <c r="K21" s="8">
        <f t="shared" ref="K21" si="8">IF(J21=0,0,ROUND(J21,-ROUNDDOWN(LOG10(J21),0)+1))</f>
        <v>150000</v>
      </c>
      <c r="M21" s="8">
        <f t="shared" si="3"/>
        <v>630000</v>
      </c>
      <c r="N21" s="5">
        <f>_xll.SimulationInterval($J$3,,Data!M21)</f>
        <v>0.99</v>
      </c>
    </row>
    <row r="22" spans="2:14" x14ac:dyDescent="0.25">
      <c r="B22" t="s">
        <v>18</v>
      </c>
      <c r="C22" s="10">
        <f>C21/C17</f>
        <v>0.46665649436732243</v>
      </c>
      <c r="F22" s="8">
        <f t="shared" si="1"/>
        <v>1425000</v>
      </c>
      <c r="G22" s="5">
        <f>_xll.SimulationInterval($C$3,,Data!F22)</f>
        <v>0.999</v>
      </c>
      <c r="H22" s="5"/>
      <c r="I22" t="s">
        <v>18</v>
      </c>
      <c r="J22" s="10">
        <f>J21/J17</f>
        <v>0.6125958944542762</v>
      </c>
      <c r="M22" s="8">
        <f t="shared" si="3"/>
        <v>665000</v>
      </c>
      <c r="N22" s="5">
        <f>_xll.SimulationInterval($J$3,,Data!M22)</f>
        <v>0.995</v>
      </c>
    </row>
    <row r="23" spans="2:14" x14ac:dyDescent="0.25">
      <c r="F23" s="8">
        <f t="shared" si="1"/>
        <v>1500000</v>
      </c>
      <c r="G23" s="5">
        <f>_xll.SimulationInterval($C$3,,Data!F23)</f>
        <v>1</v>
      </c>
      <c r="H23" s="5"/>
      <c r="M23" s="8">
        <f t="shared" si="3"/>
        <v>700000</v>
      </c>
      <c r="N23" s="5">
        <f>_xll.SimulationInterval($J$3,,Data!M23)</f>
        <v>0.999</v>
      </c>
    </row>
    <row r="24" spans="2:14" x14ac:dyDescent="0.25">
      <c r="B24" t="s">
        <v>12</v>
      </c>
      <c r="E24" s="8"/>
      <c r="F24" s="8"/>
      <c r="G24" s="5"/>
      <c r="H24" s="5"/>
      <c r="I24" t="s">
        <v>12</v>
      </c>
      <c r="L24" s="8"/>
    </row>
    <row r="25" spans="2:14" x14ac:dyDescent="0.25">
      <c r="B25" s="2">
        <v>0.25</v>
      </c>
      <c r="C25" s="3">
        <f>_xll.SimulationPercentile($C$3,B25)</f>
        <v>420392.88166362321</v>
      </c>
      <c r="D25" s="8">
        <f t="shared" ref="D25:D26" si="9">IF(C25=0,0,ROUND(C25,-ROUNDDOWN(LOG10(C25),0)+1))</f>
        <v>420000</v>
      </c>
      <c r="E25" s="8"/>
      <c r="F25" s="8"/>
      <c r="G25" s="5"/>
      <c r="H25" s="5"/>
      <c r="I25" s="2">
        <v>0.25</v>
      </c>
      <c r="J25" s="3">
        <f>_xll.SimulationPercentile($J$3,I25)</f>
        <v>134674.29128449745</v>
      </c>
      <c r="K25" s="8">
        <f t="shared" ref="K25:K26" si="10">IF(J25=0,0,ROUND(J25,-ROUNDDOWN(LOG10(J25),0)+1))</f>
        <v>130000</v>
      </c>
      <c r="L25" s="8"/>
    </row>
    <row r="26" spans="2:14" x14ac:dyDescent="0.25">
      <c r="B26" s="2">
        <v>0.75</v>
      </c>
      <c r="C26" s="3">
        <f>_xll.SimulationPercentile($C$3,B26)</f>
        <v>936612.73955371347</v>
      </c>
      <c r="D26" s="8">
        <f t="shared" si="9"/>
        <v>940000</v>
      </c>
      <c r="E26" s="8"/>
      <c r="F26" s="8"/>
      <c r="G26" s="5"/>
      <c r="H26" s="5"/>
      <c r="I26" s="2">
        <v>0.75</v>
      </c>
      <c r="J26" s="3">
        <f>_xll.SimulationPercentile($J$3,I26)</f>
        <v>360285.7395997743</v>
      </c>
      <c r="K26" s="8">
        <f t="shared" si="10"/>
        <v>360000</v>
      </c>
      <c r="L26" s="8"/>
    </row>
    <row r="27" spans="2:14" x14ac:dyDescent="0.25">
      <c r="E27" s="8"/>
      <c r="F27" s="8"/>
      <c r="G27" s="5"/>
      <c r="H27" s="5"/>
      <c r="L27" s="8"/>
    </row>
    <row r="28" spans="2:14" x14ac:dyDescent="0.25">
      <c r="B28" t="s">
        <v>44</v>
      </c>
      <c r="D28" s="8" t="str">
        <f>CONCATENATE(TEXT(D25,"0,0")," - ",TEXT(D26,"0,0"))</f>
        <v>420,000 - 940,000</v>
      </c>
      <c r="E28" s="8"/>
      <c r="F28" s="8"/>
      <c r="G28" s="5"/>
      <c r="H28" s="5"/>
      <c r="I28" t="s">
        <v>44</v>
      </c>
      <c r="K28" s="8" t="str">
        <f>CONCATENATE(TEXT(K25,"0,0")," - ",TEXT(K26,"0,0"))</f>
        <v>130,000 - 360,000</v>
      </c>
      <c r="L28" s="8"/>
    </row>
    <row r="29" spans="2:14" x14ac:dyDescent="0.25">
      <c r="F29" s="8"/>
      <c r="G29" s="5"/>
      <c r="H29" s="5"/>
    </row>
    <row r="30" spans="2:14" x14ac:dyDescent="0.25">
      <c r="F30" s="8"/>
      <c r="G30" s="5"/>
      <c r="H30" s="5"/>
    </row>
    <row r="31" spans="2:14" x14ac:dyDescent="0.25">
      <c r="F31" s="8"/>
      <c r="G31" s="5"/>
      <c r="H31" s="5"/>
    </row>
    <row r="32" spans="2:14" x14ac:dyDescent="0.25">
      <c r="F32" s="8"/>
      <c r="G32" s="5"/>
      <c r="H32" s="5"/>
    </row>
    <row r="33" spans="6:8" x14ac:dyDescent="0.25">
      <c r="F33" s="8"/>
      <c r="G33" s="5"/>
      <c r="H33" s="5"/>
    </row>
    <row r="34" spans="6:8" x14ac:dyDescent="0.25">
      <c r="F34" s="8"/>
      <c r="G34" s="5"/>
      <c r="H34" s="5"/>
    </row>
    <row r="35" spans="6:8" x14ac:dyDescent="0.25">
      <c r="F35" s="8"/>
      <c r="G35" s="5"/>
      <c r="H35" s="5"/>
    </row>
    <row r="36" spans="6:8" x14ac:dyDescent="0.25">
      <c r="F36" s="8"/>
      <c r="G36" s="5"/>
      <c r="H36" s="5"/>
    </row>
    <row r="37" spans="6:8" x14ac:dyDescent="0.25">
      <c r="F37" s="8"/>
      <c r="G37" s="5"/>
      <c r="H37" s="5"/>
    </row>
    <row r="38" spans="6:8" x14ac:dyDescent="0.25">
      <c r="F38" s="8"/>
      <c r="G38" s="5"/>
      <c r="H38" s="5"/>
    </row>
    <row r="39" spans="6:8" x14ac:dyDescent="0.25">
      <c r="F39" s="8"/>
      <c r="G39" s="5"/>
      <c r="H39" s="5"/>
    </row>
    <row r="40" spans="6:8" x14ac:dyDescent="0.25">
      <c r="F40" s="8"/>
      <c r="G40" s="5"/>
      <c r="H40" s="5"/>
    </row>
    <row r="41" spans="6:8" x14ac:dyDescent="0.25">
      <c r="F41" s="8"/>
      <c r="G41" s="5"/>
      <c r="H41" s="5"/>
    </row>
    <row r="42" spans="6:8" x14ac:dyDescent="0.25">
      <c r="F42" s="8"/>
      <c r="G42" s="5"/>
      <c r="H42" s="5"/>
    </row>
    <row r="43" spans="6:8" x14ac:dyDescent="0.25">
      <c r="F43" s="8"/>
      <c r="G43" s="5"/>
    </row>
    <row r="44" spans="6:8" x14ac:dyDescent="0.25">
      <c r="F44" s="8"/>
      <c r="G44" s="5"/>
    </row>
    <row r="45" spans="6:8" x14ac:dyDescent="0.25">
      <c r="F45" s="8"/>
      <c r="G45" s="5"/>
    </row>
    <row r="46" spans="6:8" x14ac:dyDescent="0.25">
      <c r="F46" s="8"/>
      <c r="G46" s="5"/>
    </row>
    <row r="47" spans="6:8" x14ac:dyDescent="0.25">
      <c r="F47" s="8"/>
      <c r="G47" s="5"/>
    </row>
    <row r="48" spans="6:8" x14ac:dyDescent="0.25">
      <c r="F48" s="8"/>
      <c r="G48" s="5"/>
    </row>
    <row r="49" spans="6:7" x14ac:dyDescent="0.25">
      <c r="F49" s="8"/>
      <c r="G49" s="5"/>
    </row>
    <row r="50" spans="6:7" x14ac:dyDescent="0.25">
      <c r="F50" s="8"/>
      <c r="G50" s="5"/>
    </row>
    <row r="51" spans="6:7" x14ac:dyDescent="0.25">
      <c r="F51" s="8"/>
      <c r="G51" s="5"/>
    </row>
    <row r="52" spans="6:7" x14ac:dyDescent="0.25">
      <c r="F52" s="8"/>
      <c r="G52" s="5"/>
    </row>
    <row r="53" spans="6:7" x14ac:dyDescent="0.25">
      <c r="F53" s="8"/>
      <c r="G53" s="5"/>
    </row>
    <row r="54" spans="6:7" x14ac:dyDescent="0.25">
      <c r="F54" s="8"/>
      <c r="G54" s="5"/>
    </row>
    <row r="55" spans="6:7" x14ac:dyDescent="0.25">
      <c r="F55" s="8"/>
      <c r="G55" s="5"/>
    </row>
    <row r="56" spans="6:7" x14ac:dyDescent="0.25">
      <c r="F56" s="8"/>
      <c r="G56" s="5"/>
    </row>
    <row r="57" spans="6:7" x14ac:dyDescent="0.25">
      <c r="F57" s="8"/>
      <c r="G57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data xmlns="http://riskamp.com/xml/simulation-data-1.3"><![CDATA[iu0hpAwAAADoAwAAx0s3iUFgB0BwHwAA3sr7rWgAAAAEAAAAEgAAABdNb2RlbCAoUmFuZG9tIFNhbXBsaW5nKegDAADnAwAAAAAAAAAAAAAAAAAAAAAAADm4wPrITgBBjEpAUO3sBEEAAAAAAAAAAGLERAXTvgJBAAAAAAAAAABMLj4KtJoDQQAAAAAAAAAAAAAAAAAAAAAAAAAAAAAAAAAAAAAAAAAAAAAAAAAAAACkPGQ1MwMEQZSlWADcNftAmBz8hFu0B0EAAAAAAAAAABPO5W+NrP9ADmyvGO6kAEEIsV4VirQBQQAAAAAAAAAAAAAAAAAAAAAAAAAAAAAAAAAAAAAAAAAADFXvjWdtBEH/XwLUT/oAQQAAAAAAAAAAAAAAAAAAAAAAAAAAAAAAANrX2kjh0gFBVrzdDcOx/0C+J5JkSKQGQXooS1OM2gFBtUJHTgfO+kBbliVQ+VgDQWT7RHdlygJB1osUCa0YBEEAAAAAAAAAAAyv7pnjnPtAAAAAAAAAAAAAAAAAAAAAAKW825ngHgZBAAAAAAAAAACD1a/o32oCQQAAAAAAAAAA/wafTdCX/0Cck6k8n/z/QICwrEALsgFBAAAAAAAAAAAAAAAAAAAAAAAAAAAAAAAAUFpdf97dBEEAAAAAAAAAACqLP5qLIf9AAAAAAAAAAAAAAAAAAAAAAOVOHYNzwgFBAAAAAAAAAADLwwbJxRsFQQAAAAAAAAAAzDpITkTWBEEAAAAAAAAAAAAAAAAAAAAAJxDUp2UqA0Fm3rAi22QFQQAAAAAAAAAARkHecN21/EAAAAAAAAAAAAAAAAAAAAAAAAAAAAAAAAAAAAAAAAAAAAAAAAAAAAAABAk01OqtAEEAAAAAAAAAAAQbfnlEJANBAAAAAAAAAAAAAAAAAAAAAAAAAAAAAAAAq9dh0kpkAUEAAAAAAAAAAAAAAAAAAAAAo4dMI959AEHW5zEmy4X/QAAAAAAAAAAAAAAAAAAAAABm/AJU40MDQQAAAAAAAAAAAAAAAAAAAAAAAAAAAAAAALTAOLsm4ANBzRavxRmsA0EAAAAAAAAAAF7jHJLhJgVBAAAAAAAAAADQEtx+klYGQdLkqRLEpQVBzzoltLmm/UAAAAAAAAAAAAAAAAAAAAAAAAAAAAAAAAAAAAAAAAAAAAAAAAAAAAAAAAAAAAAAAAAuQQEJNMYBQY0iKmy43fpAQh/KbTgCBUFeKMwl20YEQQAAAAAAAAAA6HuIfn0NAkEAAAAAAAAAAAAziWerRgJBBeY8EWO7BEEr+IsBHvwIQQAAAAAAAAAAAAAAAAAAAAAAAAAAAAAAAAAAAAAAAAAAAAAAAAAAAAATXk723SABQXqeYUIgqf5AAAAAAAAAAABRUgbem/v9QAAAAAAAAAAAbTticrenAkEAAAAAAAAAABoraTwIHANBAAAAAAAAAAAAAAAAAAAAAAAAAAAAAAAABkwmfG3GA0EAAAAAAAAAAAjQqQU+8/9AAAAAAAAAAADY2OsRXHkIQQAAAAAAAAAAHkYcmj+YAkEAAAAAAAAAAD4cbsFmNQNBikV2P232AEEAAAAAAAAAANj1b4/71wBBRk3YVjeM/0DaLGH4o0oIQYrMLkL8nANBAAAAAAAAAAAAAAAAAAAAAAAAAAAAAAAAPAwLFm5xA0GskQ9ptlkFQfYsfqqiuANBtJpObhQW/UCcFPGCGUMEQQAAAAAAAAAA1jEINvLgAkEAAAAAAAAAAAAAAAAAAAAAjLoPGU/lAUEAAAAAAAAAAAAAAAAAAAAAUEmtozY+BkEAAAAAAAAAAMRWHgt1bgNBAAAAAAAAAABRdnnfF60CQQAAAAAAAAAAqQPRr5HHBUGkVN34Vv/5QAAAAAAAAAAAwC/4pmx+B0EAAAAAAAAAALjh9tk/DQNBAAAAAAAAAAAAAAAAAAAAAFKvbpL7UgNBAAAAAAAAAAAAAAAAAAAAAAAAAAAAAAAAJB4i+3Vw/UAAAAAAAAAAAGrywftVSgNBAAAAAAAAAAABAYh/mvsEQQAAAAAAAAAA1roUkj1PBEHyMl6X/bECQfb3TrRrW/lAPllizx7RA0EAAAAAAAAAAAAAAAAAAAAAKCm31/29A0EAAAAAAAAAAAAAAAAAAAAAAAAAAAAAAAD3/UIs8gQCQQAAAAAAAAAAAAAAAAAAAAAAAAAAAAAAABFM4u3GXwJBNIh4ayMzBEF8zSDQ5uICQQAAAAAAAAAAAAAAAAAAAABWVlODFDMFQQAAAAAAAAAAsrsphbaPAUEAAAAAAAAAAAAAAAAAAAAAPLkJ3Tz1A0He/F0SfrQDQQAAAAAAAAAAAAAAAAAAAAAAAAAAAAAAAAAAAAAAAAAA1uL3teafAkEAAAAAAAAAAAAAAAAAAAAAsxrq+v55AEFKVNAZ9wkCQQAAAAAAAAAA+gnUpKdkA0EAAAAAAAAAAMFBFKiNRPxAyGvFRyBABUEAAAAAAAAAAAAAAAAAAAAAriSMuvp5+0DWN+Exxf4AQQAAAAAAAAAAAAAAAAAAAAAAAAAAAAAAAAAAAAAAAAAAFbKbiel7BkH21yf4vt0AQQAAAAAAAAAAAAAAAAAAAAAAAAAAAAAAAGBTmzy3JgZBAAAAAAAAAAAAAAAAAAAAABdyfXu0LwJBAAAAAAAAAAA063Iccn4CQQAAAAAAAAAAAAAAAAAAAAD8dG4DkFn+QGaFhtYPUQdBAAAAAAAAAACQHG/foQcAQQAAAAAAAAAA5LOBIUFRBEH66gNzMO4AQQAAAAAAAAAAgLUIjn50A0EIfT91VHwDQQAAAAAAAAAAAAAAAAAAAAC2q9W259oGQQAAAAAAAAAAAAAAAAAAAAA8qKdgczH/QCht8bhw1gVBaA5TjfdsCEFIiaLfOlYGQfSsnjhkzAFBygA5X99J+0AAAAAAAAAAAAAAAAAAAAAAAAAAAAAAAADQSiYMif3+QFeyXbj39ABBRfQUqbo4BkGWuEKuRUoCQQAAAAAAAAAAhYMn/R9DAUEAAAAAAAAAAAAAAAAAAAAACXkVOfXx/EAAAAAAAAAAAAAAAAAAAAAAAAAAAAAAAAAAAAAAAAAAAE8LveicgAdBdhV9/H2c/EAAAAAAAAAAAD6wQnFgzgFB0jANwRhbCEHxt8XdDBEBQQAAAAAAAAAAAAAAAAAAAAAeD6j7qngGQQAAAAAAAAAAAAAAAAAAAADO3CbTJusDQUt5VxQxmQFBAAAAAAAAAADAMSkrCBkFQaON0B17KvxALMg9iGGLA0EAAAAAAAAAAAAAAAAAAAAAAAAAAAAAAAAAAAAAAAAAAAAAAAAAAAAAAAAAAAAAAADyO4YLn3oEQeWHG19B2wFBTollXuhxAkGstI8fbvD7QAAAAAAAAAAARa4sh6P8AUEAAAAAAAAAAOTnYlHiEQBBAAAAAAAAAADdNVTWc/cDQQAAAAAAAAAA25zDaDMEBUEAAAAAAAAAACsRdJBtPgFBAAAAAAAAAADLEP3b8XIAQQTAETMlVAJBPXC3yjoQBUFoDGr3vR8DQapryDQHnwVBAAAAAAAAAAAAAAAAAAAAAAAAAAAAAAAAAAAAAAAAAABOb8hfnfwCQTwAsYqT4QRB1E1g0wkQBEEaKgsNzdcCQY7nPPUhlP5AAAAAAAAAAAAAAAAAAAAAAEif7BG26wBBAAAAAAAAAAAAAAAAAAAAAAAAAAAAAAAAAAAAAAAAAAAAAAAAAAAAAAAAAAAAAAAALTtu+7N6AUEAAAAAAAAAAPDVHorcHABBUYmGHyIsBEEAAAAAAAAAAAAAAAAAAAAAXEdNzEI4A0E0AbyxPL8EQS8R7IE6HwFBAAAAAAAAAACODK0cDvIEQdWFmgKkXftAAAAAAAAAAAAAAAAAAAAAAAAAAAAAAAAASfo4EWbs/kDSIZ2uWhMAQZMTPnwEjfpAAAAAAAAAAABo0eNcAjECQQAAAAAAAAAAAAAAAAAAAABz94xUknAAQQiLshP7twRBPm5e3IMuAUEAAAAAAAAAAFOlXW76OwBBAAAAAAAAAAAAAAAAAAAAAHiwPysSwwBBAAAAAAAAAADwxjWnWo/9QJeORX3kuQJB+JKT2efaB0EKHcZhJpIFQQAAAAAAAAAAS2gSKPEmB0EAAAAAAAAAAHqtxzcEbf5AAAAAAAAAAACimbjOOUcAQQAAAAAAAAAAAAAAAAAAAAAAAAAAAAAAACSHd6w2SwFBnc1Dx2XMBUEAAAAAAAAAAAAAAAAAAAAAAAAAAAAAAAC34hC0B377QEH+8cU7vABBoDxftmiY+0AAAAAAAAAAAPpy9LccG/tAAAAAAAAAAAAAAAAAAAAAALElgogtFQJByJKDtkHjA0H3itU23LADQaVy2SXkvPtAZ7HKrwygAUHEBOnY+ysGQQAAAAAAAAAAAAAAAAAAAAAAAAAAAAAAAALkVhDLUAZBgg3hiHUR/EAAAAAAAAAAAEbINjUMQwNBmmptKgeFAUEAAAAAAAAAAAAAAAAAAAAAAAAAAAAAAAAAAAAAAAAAAIAY4nxT+ABBAAAAAAAAAAAIBDBWTHwCQQAAAAAAAAAAAAAAAAAAAABxR0hIBvcBQQAAAAAAAAAAAAAAAAAAAAAAAAAAAAAAABu+NLEM3QFBOI0lP0+SA0EAAAAAAAAAAJJ3tUIzAPxAAAAAAAAAAAAAAAAAAAAAACRT/VzuCgFBUPLSu0m+BUEAAAAAAAAAAAAAAAAAAAAAYcPiwiIIBEEAAAAAAAAAAAAAAAAAAAAAVODzUVaqBUFAj1FddrEEQbmarTW0WQJBAAAAAAAAAABONMdHOuoFQdZ8pDtLEwRBpW2S+SJbB0GK8LltZ2wDQQAAAAAAAAAAAAAAAAAAAAAAAAAAAAAAAAAAAAAAAAAAoiwRrV9j/0DRwzWCGy8GQQveJJFyHfxAX8yKjSqlA0FWUCSmme7/QAAAAAAAAAAAAAAAAAAAAAAIu3OBv5kFQQAAAAAAAAAAAAAAAAAAAAAAAAAAAAAAADUI5m1NAARBAAAAAAAAAAAAAAAAAAAAAAAAAAAAAAAAtFa0Jzr0AUEAAAAAAAAAAAAAAAAAAAAA1YzRiaoYAUFU8nClMwMAQfvS4vpcIwdBAAAAAAAAAAAAAAAAAAAAAAAAAAAAAAAAAAAAAAAAAAAAAAAAAAAAAAAAAAAAAAAAMmV6erSWAEGIc3kT7wcCQajHZ0oNqQBBAAAAAAAAAACmLJjQRsD8QAAAAAAAAAAAAAAAAAAAAAAAAAAAAAAAAKi7yD7DTAVBAAAAAAAAAAAo1SQNcoECQQAAAAAAAAAAAAAAAAAAAAAAAAAAAAAAAAw5e5wFfv9AAAAAAAAAAABTgj4nuLgAQQAAAAAAAAAAlv5kmor0AkHoykGvmu8BQQAAAAAAAAAAAAAAAAAAAABYsr9SgGoDQQAAAAAAAAAAAAAAAAAAAAAAAAAAAAAAAAAAAAAAAAAAAAAAAAAAAAAAAAAAAAAAAGrjibrC4QZBAAAAAAAAAACxmIEW/3IEQamo0sf6vQFBAAAAAAAAAAAAAAAAAAAAAAAAAAAAAAAAAAAAAAAAAAAAAAAAAAAAAPyxkkUJeQNBAAAAAAAAAADeGApAad4CQQAAAAAAAAAA8guAgEOjBUFmZN6qW9L+QAAAAAAAAAAA8U7FKSzu/kAAAAAAAAAAAAAAAAAAAAAAAAAAAAAAAACDSG/b7QsDQZreqID8nv9AAAAAAAAAAABGtqhTaxEBQSQrxoKW3gVBAAAAAAAAAAAAAAAAAAAAAKTTDa0YRAZBAAAAAAAAAAB3xGrHKegEQQAAAAAAAAAAB2Nld5dQAkEAAAAAAAAAAAAAAAAAAAAAAAAAAAAAAAAAAAAAAAAAAPhTiHM68QFBuhauYeyTBEEAAAAAAAAAAAAAAAAAAAAA3PtvFmhDBUHxmWT3YLACQa784Iq9DgFBwqsK4a0eAkEAAAAAAAAAAAAAAAAAAAAA9X72VYtW/EAAAAAAAAAAAIlcCqpuzf9AoikLRZ2k/kBiiyOsMNcEQQAAAAAAAAAAAAAAAAAAAAABDuqZgD4FQaYSq7JHcAFBAAAAAAAAAADiC8jCFZQDQQAAAAAAAAAAAAAAAAAAAAAAAAAAAAAAAL0PGoDNxf5Aa6De6tsTAkEAAAAAAAAAAEq0+jaDkQRB4n5Np7qcBkEAAAAAAAAAADd2xlSqEv9AAAAAAAAAAAAAAAAAAAAAAIIB/vZMb/9AAAAAAAAAAAAU8LZJhJ8EQQAAAAAAAAAAAAAAAAAAAAAAAAAAAAAAAFJUszCStPtAAAAAAAAAAABHy/pSX+UAQRDLxOrB6ANBWH4KYYSNAEEAAAAAAAAAAAAAAAAAAAAAWhsSPaqKBUEAAAAAAAAAADB0BNBFvwJBAAAAAAAAAABIjddJ6VMAQaA7CU0/OgJBAAAAAAAAAAAAAAAAAAAAAAAAAAAAAAAA8n3EegYQAEEAAAAAAAAAAAAAAAAAAAAAAAAAAAAAAACXn7Sr5Oj8QDjC98yPYAVBAAAAAAAAAAAAAAAAAAAAABxpSi7I0gJBAAAAAAAAAAAAAAAAAAAAAAAAAAAAAAAA8oegmCPIB0EmIPrN00AAQejA3Zl4O/xAAAAAAAAAAADIeefkYmoEQdhPQ380OQFBAAAAAAAAAAAAAAAAAAAAAGc74zgsYv5AguCvfxKRAkEED/ghtooEQQkRKPCpgABBAAAAAAAAAAAAAAAAAAAAAAAAAAAAAAAAINkvMulnA0EAAAAAAAAAAAAAAAAAAAAAAAAAAAAAAADpSWauzYMBQQju1nyBLARB3sGMIeYvAEF8JIlU400JQcJxvQIdlv9AH8s6LpWCBEFvOOdu0sr8QIyWyp3vogNBAAAAAAAAAACgpsxVqf8GQaacubMB9gRBqmBDUz6HAUEIch+cqkwAQXjo1F6BzgRBtGyQRDLUAUEAy85r3ZcFQZLlNwgb1QZBAAAAAAAAAAAAAAAAAAAAAAAAAAAAAAAAAAAAAAAAAAAAAAAAAAAAAH7hJkO2eQJBRfxpY6BLBEG0iVCETEcHQQAAAAAAAAAAAAAAAAAAAAAAAAAAAAAAAAAAAAAAAAAA4CtSyj31BEEAAAAAAAAAAHw5MEIYmwJBQ8c/ttrJAUHkckGjKzIBQQAAAAAAAAAAAAAAAAAAAAAjqUI1zzMHQQAAAAAAAAAAjF1qj3xPB0ESruR31aoGQeyiNWWCLQJBAAAAAAAAAAAAAAAAAAAAAIA0pkV4jQNBAAAAAAAAAAAAAAAAAAAAAAAAAAAAAAAAAAAAAAAAAADylGMP5P/+QAAAAAAAAAAAnQQ4wwi7/kAAAAAAAAAAAAAAAAAAAAAAAAAAAAAAAAAAAAAAAAAAAIQ9g5IxHARBAAAAAAAAAACNCREIpRz/QBoSCykNiQVBvgCcwgk6A0EAAAAAAAAAAAAAAAAAAAAAScOYuGXkA0EAAAAAAAAAAGlV2J/aowFBAAAAAAAAAAAAAAAAAAAAAPBxMLke2gRBBsSd8oZD/UBrmTH9nCQEQQQf/XOQNAJBgm+QnjgjAUFWpFXyNWEAQdh5DVDcif5APsoLN/GzBUEAAAAAAAAAAAAAAAAAAAAAAAAAAAAAAAAgjW9dWzQGQV0M1AcuJwBBAAAAAAAAAABqQDGQkmEAQQAAAAAAAAAAURbfZJ3NA0EAAAAAAAAAAFHkI7GM5PxAAAAAAAAAAAAAAAAAAAAAAAAAAAAAAAAAAAAAAAAAAADGb5a/j0kFQWnCQBHzmgdBAAAAAAAAAAAWswNlVlD+QAAAAAAAAAAAF4y5j6FDAEGMl2qKkOAEQQAAAAAAAAAAVASY1MQYA0GiQQ4E0KgDQZVm7r6cLv5AAAAAAAAAAACm9GS+5jYEQfJz5/QoRAJBAAAAAAAAAAA83BGd3n0BQeCkNIXfZAZB8HZzUbiyBEFogXKYM/4EQSrsm6+K2wVBAAAAAAAAAAAAAAAAAAAAAAAAAAAAAAAAAAAAAAAAAAAk7SESSvcCQeLA53QfZQJBRtQRvz1xBEE2LBrIqZEAQU1yWTtIx/1A5e8asl9eAEG2WGrkpPUBQfXaFmnJJQRBAAAAAAAAAAAAAAAAAAAAAOMnl4dhjwBBEnCsb0Nu/EAAAAAAAAAAAAAAAAAAAAAAAAAAAAAAAAA15hpqB0T/QGThSMi35wVBoWRQZIq1/UBCQRbNk6ADQTqz4JGe1AdBOEHV0zvtAUEwO3KSFwoBQYwupZLnyQRBAAAAAAAAAAAAAAAAAAAAAAAAAAAAAAAAAAAAAAAAAAAAAAAAAAAAAAAAAAAAAAAA5E2phNa4AUEAAAAAAAAAAAAAAAAAAAAAMQG3NDGVA0EAAAAAAAAAAAAAAAAAAAAAAAAAAAAAAAAAAAAAAAAAABTHfjnrYARBGJuLvVQvBEEVvAx+C04CQQAAAAAAAAAAAAAAAAAAAAAAAAAAAAAAAD7xt/UazgVBkBqTPSQiBEH8ZDR40ckAQW4UxuPtCQlB5ZQ2EoP+A0EAAAAAAAAAAD/ttpjoXwNB9oyBAWMyAkEAAAAAAAAAAAAAAAAAAAAAuA/GvBn++0AAAAAAAAAAAAAAAAAAAAAAAAAAAAAAAAAAAAAAAAAAAAAAAAAAAAAABkv/qlhSAUE+9U6jkUUFQQAAAAAAAAAAAAAAAAAAAADi9UUOfZkAQQAAAAAAAAAAAAAAAAAAAAAAAAAAAAAAAAAAAAAAAAAAAAAAAAAAAAAAAAAAAAAAAAAAAAAAAAAAAAAAAAAAAAAAAAAAAAAAAAAAAAAAAAAAAAAAAAAAAABwPY8OPrf5QAAAAAAAAAAAq9DkIIieAkEcRt064w79QGIRb3XAGwdB//8G0+92/kAAAAAAAAAAAAAAAAAAAAAAAAAAAAAAAAAAAAAAAAAAACgUvTFy+QNBhjr8fXLuA0EAAAAAAAAAAAAAAAAAAAAAAAAAAAAAAAAAAAAAAAAAAMivLEAecgZB119pa1CgAEEbRG3tih0CQZJ6ESl67wdBIBlqjs25BUElmzW98a3+QAAAAAAAAAAAAAAAAAAAAACEnfhsPCgFQQAAAAAAAAAAAAAAAAAAAAAFdM+ZgJ4DQQAAAAAAAAAAAAAAAAAAAADcXAz9uhUGQVWu8/yGeP9AAAAAAAAAAABmp+rmQYwEQa4+olJlmvpAAAAAAAAAAAAAAAAAAAAAAAAAAAAAAAAAAAAAAAAAAAD2VTmT1o4CQQAAAAAAAAAAasVTYz6VAEHfDf0EtT36QGbfkXOjSwBBc6Gb841dA0EAAAAAAAAAAAAAAAAAAAAA3vxOvziBBEEAAAAAAAAAAAAAAAAAAAAACvkxM/luAkEAAAAAAAAAAFSBGhnMmwBBAAAAAAAAAAAAAAAAAAAAAAAAAAAAAAAAAAAAAAAAAAAekF/fe4oCQQAAAAAAAAAAAAAAAAAAAADFGJWVLlgFQYYApUifUwJBAAAAAAAAAAAAAAAAAAAAAAAAAAAAAAAAAAAAAAAAAAAJMhaRPK4DQdZyJVflNgFBRmshwr1GA0EAAAAAAAAAAO+/46ZgMwBBSnIUa8NpAEEAAAAAAAAAAEZHkBNC1v1AAAAAAAAAAAAAAAAAAAAAAOT6qShszAZBAAAAAAAAAACBeoSBbA0EQboWOYHSeAJBAAAAAAAAAACmdCZQUJAHQSnrMI1LBwFBAAAAAAAAAACreXxgak8BQQir1dK9jgNByZZlV0vtA0Hlaub/5RMDQQAAAAAAAAAAmsRvhjHlBUHGkaf0WA0GQeoPEhmwHQhBAAAAAAAAAABW3KEza34DQX61FvWQJAVBrzEetgRZBEEAAAAAAAAAAAAAAAAAAAAAAAAAAAAAAAAAAAAAAAAAAM4xQjSLKQZBkN/fH6SbBEEAAAAAAAAAADhClDRVnQRBsSoQBIrc/kCAidDEeHwAQeB/3bY+5gRBoMmpC4thBUEAAAAAAAAAAAAAAAAAAAAAODr/sKNsAEEAAAAAAAAAAEZ+DxbzQQdBAAAAAAAAAAADueF6tdkJQQAAAAAAAAAAAAAAAAAAAADiBsOu7+EAQQAAAAAAAAAAiwKq/tyJBkFFEWskWFIFQQAAAAAAAAAAFv3cM0PPAEEAAAAAAAAAANPsPeMWiQBBRezQAhp4BEElkJgCVzUJQdnwd1vVIgNBRe1NqH+wAEHk8mBrcYsAQQAAAAAAAAAAAAAAAAAAAACA/T9Xlq4AQQAAAAAAAAAAAAAAAAAAAABGJyTIJtUDQQAAAAAAAAAAzAOp3vHBAEEAAAAAAAAAABTQzlfqIftAAAAAAAAAAAC//PAXbNEFQWapmaD+sgZBAAAAAAAAAAC4b3vVBfn8QGjYu4hW8/pAAAAAAAAAAAAAAAAAAAAAAAAAAAAAAAAAAAAAAAAAAAAAAAAAAAAAAAAAAAAAAAAAb46Q1RzZBUE6w5dsQ1EIQQAAAAAAAAAA80d076fvBUHWJBlR38cIQXp4Tu59mARBAAAAAAAAAAC42jbBe7sCQZra0I3Pn/xAAAAAAAAAAAAAAAAAAAAAAAAAAAAAAAAAoY3e6FfxAEEAAAAAAAAAABWhECXSFQRBW7+mzpXXBkHOXMbwq4cCQQAAAAAAAAAAAAAAAAAAAAAC78TRgSoFQQAAAAAAAAAAhIYAPJWo/0AiJ4ENtCQBQQAAAAAAAAAAT5uwnelpAUEAAAAAAAAAAA2c3iSrzgBBAAAAAAAAAABZg0IJB2UAQQAAAAAAAAAAAAAAAAAAAABwHwAA3sr7rWgAAAAWAAAAEgAAABdNb2RlbCAoUmFuZG9tIFNhbXBsaW5nKegDAADnAwAAL7/6+gIa8EBDVi5u2ZcaQRM0ZGnF0RRBfBq0b0+0GUHL7HFO7rsPQadmVjm7ugtBlV0ftAzDDEGsExP4egYNQS2RzeYelfBAa6iOKwpr80D97jVruUYKQW6JUlt2BvNAKIEBzhQYDUH/ycUtndQSQZB8YjXdqyBB2llfEmukHkEKqPdelfUPQamJzAO5UwhBJnVFrfjoEUE+xw9jQf8fQX0fLj51ZANBAAAAAAAAAADhcQ/jaWYJQRonuijocxBB3FAAfgwQJEEWutGxWEQLQfJ/xUiLlfNAfHGhpijcDUGso7hGCX/xQAvWrzPx8B1BVrzdDcOx/0C+J5JkSKQGQd4qEwd8ixlBeSkEqL47FEGq/0TrWtkdQTgAq5OHIw1B1ueTVos4DEEiHlu3DxcRQYO6RQeMlRxBc2Hwf1fJFkFWug5atSwQQTBNV1ynHhBBmpNKapxP80AjUkyj4/MNQWpIGJ5ktxBB/aX2XKRHJUHmbiveZl0RQUbu7pE5jhNBKoo2g9de9UA23crHk27wQEw/nhrXpB5BqHU5UzGTGUGUklYYRw8OQYgcW8eShwhB0oJd8ROQGkE+FZgit8wMQSGhkWGiBQpB/+VYGsa1F0Giqb4wwBQiQYhvxstNagNB4KxMdCnvDkHi6v0r7ebxQAAAAAAAAAAAoQR6OuoUFkHY9Qzh9jwYQcLMYaA6zQ1BSkdQJheIGkGoY2D0oSYJQXEvIvGdVQJBtNGxH0bdBkHMbe43XJPxQBqKmPNf2PtAWP0pI3tbCkGSwmBQbI4QQUIx7NFQHRdBAAAAAAAAAAAAAAAAAAAAAFyy3by+txJBIupTMJZVEkEJBYUq4iXzQErFqc774PNAfules4vrEEGX7CFtn0IXQWpb7nEY1A9BWq5v+UqLC0EDB+sWqBsOQU8wG5A4dO9AAAAAAAAAAAAP5pkS994OQQLUt63NWBpBEKRBtjHlGUEAAAAAAAAAAIJ5ejglDR1BlEz6O4pZFEE0QI64/W4XQViVI4LUeiVBM+izPx7uFkF6U/7TNCAOQYjeLAU9zAtB81mULySK8EBXEJy9C60PQbQea0dZ0gVBkOyrDHokCUEK+xqxT8wLQYiuCF2LsQRBJKEbS6dEDkFeKMwl20YEQfmLHksRngFBqKXpucn9F0EAAAAAAAAAALR5dAATcRdBBeY8EWO7BEHAGlGdRGYbQfDoy8v5ihdBMV3TZjkWBEHvJw2cCdHwQMsatXsAafVAwn6hL0e88UDB2cyap4MTQeibzMQJgAhBCK5KpAEHEEHhqM0rFyMaQSjW0bkd6fRABuPEOg+xGkH1lNZWsgINQRoraTwIHANB5r4UEnOTC0EAAAAAAAAAAJ/wDnEAxPJALLisLWheJEFGgCpLhZcIQQjQqQU+8/9ArsEHW4yCCEH+B1GmViEcQUObcEsDJf1AOJhIVuOZDEFGm7t1StUWQXLMoROp/w1B1sU6rIPxCEGquZnmXLQGQdj1b4/71wBBcUqds5WUIEFYiC6SU5UZQYrMLkL8nANBTFB4JTwYGkFCfqDm5QvvQGBzZmy/rRVBPAwLFm5xA0H9iE14b6AeQfYsfqqiuANBEipUCzfWHkGFS9tojZIMQbbYNP3G0vRA8fljx+wBEkEW7nAIcg8KQZ+54sKIpxJBOG/33WbbCkEEzMjwNGwRQULNpWOtZP1A6860ao+6F0HHfaTQlEQOQdoAarYi6xBBsYcGNsWhCkEsdwCAGNURQQAAAAAAAAAA+Gl69CzfDUEpA841VB8TQYu/r1Mm/wxBwC/4pmx+B0HdJSRgbxUhQcfHd0UjQxpBlLtoMf9OCkEI/Nckxx8CQVKvbpL7UgNB5lVo1NtqBEEAAAAAAAAAALdVNGoCFhlBitsiH139F0EAAAAAAAAAADFyBW4hUxdBJeBj4Qs69EC4vqEm9hQbQQAt0dXOGQxBlcpQv1GxGkGVTEKNRGUZQcTA2bWyhxFB9CEaBc69FkGeELNcMmsLQZK4wh8akPVAkNrQuc08HEFmxaMn7vgNQWZyu5/M6BNBveUW7jRwGUFnjYegi1YKQZpzxZRzrfBAUGsvFGCMGkG9NeP2EkoMQd91XHwiGCBBvtT7BCF4FUGI6FOChkwLQQAAAAAAAAAAq8Kz4uFADEF/XdkGRNgUQQAAAAAAAAAARNeBQEMSCUGNmNKqkKYMQcHA4G7h8RxBPLkJ3Tz1A0EgAz0m4BQWQVAkneCPfRJBog6R8nP080B0oVsNBgENQQAAAAAAAAAA1uL3teafAkEowElwWSsKQaUvmaiFuRBBbzrw6+GWEUEZ2SDtYMoUQSRfpe16e/BA+gnUpKdkA0HmHQo1Pb/zQP6GvmWMvxtByGvFRyBABUHuGJuGx74HQZJvLBnoWRBBCJxEgy59EEF7Wy8DanQQQQAAAAAAAAAAoPbokEA5EkGoho8aKCXxQDuYjOKYCg1Bem8W+SAHIkH21yf4vt0AQdDixSd5OvdAAAAAAAAAAACKRWlsACYFQaXvdh8FThhBAAAAAAAAAAANLY9JOIrzQNNHJBlxyyBBNs5ccw9580Ckf2rP9oAfQd9AHen2APNAUMn6wO7UB0HxBjKXwjgWQSSbEL2OnxBBunDqKPIzGEHer1oVTxgfQWrCKCXMRhJBxLGh01BvF0HNSyP+8J4WQT7Gn9CIYgxB0tdk4fipC0EZZfbMSMsWQQAAAAAAAAAAHhq/wZDa/0AHZh7AoZ0fQVrL78TOJO5ArjTo2MQR90CLCbug2O4JQW+58BssaQ1BaA5TjfdsCEFoR8CxnyMQQemYxFN+thJBTSxF3tdUE0Es9zxrn6n2QNdJkeY8U/VALA5QlTX4CUEkBXh6FQ8WQUh9TnuY+CJBVDW5P6yRGEHW0Lr0S2IKQRktNWm8ifNAPNgmjKCsC0EAAAAAAAAAAPKEG7X50vpACXkVOfXx/ECFT7qS3bv1QIPgG5RomwZB4iIDyT1+8ECWDNZP+1kNQbAWH/vLoBtBTqCHnEQ6E0H+D++lppcUQX5De67fvhtBzxMedAjlGkGO7UCiSWUJQQAAAAAAAAAAjGparnmA8UDs5VqQZeAOQcfdTt+tP/JAu0OvAMej8ECFEN+sgR8WQb6y8WH1PAtBQD2rfx0U9EAMpcRqvxMYQcZhZ7mg0iBBLMg9iGGLA0EdPDY7/7gIQYErVR/++PxA/KObWUPKBkEAAAAAAAAAAE2X+TT+bvFA5DHx2Z41/0DyO4YLn3oEQR5iPg4wPyFBHXHgLBnjCkFY/v//Nv8GQUUzO7M9Og5BL9FI+mTPF0FAvOa1bhYcQeTnYlHiEQBBlDkDF3lS8kCIFqWm27ISQQAAAAAAAAAAa/hpJC7mD0FLdr9FkTkQQUw0NNF52h9BHV7C6G+rCUGUVvKkkWAIQf167WtjEhhBl0HTRJ6nDEHiOMVq7osQQapryDQHnwVB3x5mgACVF0FG/LkEWksNQYmzMPrX5hBBiKAPS8kR9UB7Q9qx/nwWQbx4wSwN5BdBpc0JHm0lGEFjgLKnhTwXQY7nPPUhlP5AAAAAAAAAAABX4KjT7nkUQdijxQVaJwtBAAAAAAAAAAAQ4G2CbLL2QKLlLinrHQ5BEbYo48k2G0ES6BJa/CvxQAAAAAAAAAAAiE9c161qG0EnADj9qzfxQJedcWQHdxRBaSRAuc4MDUEAAAAAAAAAAA5AaQ6aUO1AM0f/otgkF0EvGKG62sEZQZjHZ8I2AAlBySr5KOyPEUG41uF6dGEOQWSQ+9VYzg9BSayx3cEj9UBSWW/lY+/wQKKNb5EpkQFBlHjdIlfRCEGfn86RwiEYQU5zzO1IoBJBjN+wZPfKB0EqeZONyAYLQbu41EhKPA9BAAAAAAAAAABz94xUknAAQT+edeVJqxdBxhihuS0AC0HmXmSjjR71QHT7CFYLywlBEG1e/glbBUGgf3a1/9v0QChDK86v7hZBVmfvnkNeDEHirTp1CoIRQRi7svlZCxJB0OHuERQpEUGF3IBbzbIbQQAAAAAAAAAAufbB8MMrD0HOovCp588IQelsqsl7phVB6E4vgBSRDEGimbjOOUcAQZ97l/6RBwFBFCIa6wQYEEFIpdCxzDTwQEa2rEKteApByvOZ/sF2HEH2RQm3VZMAQQJCK0xMChFBNreB8odRHUFCY2UxLHwHQZQGEA3kxxpBPGfEIuS3FkEXJwnyV1AQQZqcaDvUPAdBEhBV9O2nB0EAAAAAAAAAAHcY9dxPEAxB22gxY51wGkHvvv2/9EUeQU4r34+aGA5B5EnlanF2E0HjltN94CAZQRqWfUVLtfVAUhcCUr6/CkHLzjAgxRD0QNoZOrizfw5B178NHhDqHEE/aNGlWlTtQMReRcCg4gpB4q5U+dx+F0H+qghdjL8KQUd5AddrV/JAXCWGsBeq80Abm0OsSsnwQO2lSydjXRVBrLgacVXFCEEIBDBWTHwCQcRks5JfFgtBAAAAAAAAAAAEeUWPKz8QQQAAAAAAAAAAeAoNB8ZNGUH8hI7cbfgQQU86TSdOHRhBAKb+eMgUJEEAAAAAAAAAAIyPg6MG7BVBAAAAAAAAAAAAAAAAAAAAALsjIggajwtBOXaZxpH+DkEyyb3z2JAYQSpuV+kMrxJBBAhVLEcNGEHpZsk9qgEOQeRU0n1bWgpBkHrnZ1BLHkHCbex3lxgOQbgpyfLSOR9BkqvseaNZEUFONMdHOuoFQTTPq1cCKhZB3GKbah/zE0Ewdm22vsYXQZyBLFNCWgZBAAAAAAAAAABS1wgsXtYJQa6+ggA6LRRBdVtMqhoHGkGu7WJ/OUIQQezDBFbLfQdBgII/b3zrHUFgLxXl1/chQfEjCD5ZdAFBHFSpUc35/0AIu3OBv5kFQdOfHEPvNvBA/jAIstr880DQk2DGTdABQQi4iQRWBg1BDs4GCWnODkEQzBq1KTMSQfqUrFec9hJBj2Kii6O2CkG4sjBAThf+QEYJhPzstARBZYgbLpO3H0HCZwD5JE0YQYBw3Smcow9BN2klZNRj8EAJje1iikkKQe7qdqZe3A5BAAAAAAAAAAADuKreaKTwQAtMBJ5xvABB8roGjlYzFkGUiaVjA0EXQfrrsVS1SBRBIsncPAbpEUGBbu1AWtwGQVjnXBZcRABBHCFkJ6W/E0EAAAAAAAAAAMQrGEJ8URdBqnWm1Xcs80B+8DmAGy0MQRWJRjQ0S/NAs4yCFt0CCEFeVDHvQ4oQQdswIn3r9RNB28pLIw0hBkHAEO+Kd5wkQdDPoTgyYgxBlv5kmor0AkFNhxKDuYUkQZ8X1NV1RRlBMAOe5PM3D0H4TPmDHKMiQV0OelP8Zg1B4v0y8klHCEEAAAAAAAAAAE7RcJEkuu5A5REaV2GvCkH5/C9UkVUdQYP4rlFrRhlBYMv+qVVN9ECAsI4KNSUOQTgdCljivRZBLE9gEsauIUEAAAAAAAAAADqoDrdrMR9BIMvvMstwEUGCAkK/oecbQXrqRipPrwtB8dJORXmp8EDeGApAad4CQVxytUt/JwNB8guAgEOjBUGwo9b1SkgHQU6NvPCvGfFAqAo8+a1uIUHVFcx8B8fyQKzKYWZrFBlBK1Eu7Ekp80C1V2u5lO4jQU5AQROWIRdBZolRvL+0E0HXzGNFyckVQRDDL6AAGA5Bv3JqfGUj80CBTlCFedIQQaTeHecm2RdBCF8HgQ5wE0FUNtMYnv0XQVrOLBoSzRNB897RwCoBE0EAAAAAAAAAAMG/jFWa4AZBAAAAAAAAAACBPNGAFZfzQCSAJFTfDhlBNZ7D25pwDkHKETbRcFUJQQk2ezEzgfFAZo7HtE4hD0G0Dm3mfFQLQTDSqhZXhglBTL9DFbQ8F0H+eXYEQwEcQeB18Tky6BhBkcBLBvY2BkGyjZ2EH8DzQMqnHyvpeiJBAOExCfLkEEEx1xwR7GkNQRZaW1hS+/JASzZd6mtUFEGz8ZX6ZrwXQYbZtfNezgpBFmdCuNFq8UCX7DGts9cWQQAAAAAAAAAAAAAAAAAAAAAhvFGdRq7xQL0PGoDNxf5Aa2mQxTXHGEFpNBbl/EgBQUq0+jaDkQRBmuQJ5GyoGUGWuCKRtyT0QCIxK/qIewdB3PQuxhwY8kAAAAAAAAAAAGz3ZTZoexZBAAAAAAAAAAAUBgDyOF8WQZCNmz+z4QhBnO0Brmh8EEFcVrpUwTwNQZRkcSHwbghBPf08ChVJHEG4skFET3QJQdhUzL03VxJBWH4KYYSNAEEDL77QU6oTQZF58++3ZxZBWhsSPaqKBUEAAAAAAAAAAJ3jIYwX2xpBFBW2GUwC80C3lW7d75oVQaA7CU0/OgJBKEAIOoA6DUE2cM/ShZ8IQVyqrZ9xjglBfeq78V5BF0G7EXPrUw0TQQ679Xq2ShBB9JXHvJGGDEF4/BfgYskTQTg0UUFpMBdBLBLphjzeDEE9b0IHVFvxQHavlyu7+BZBWbqib1ZR8EAU9+QGw6MOQdmLB5dR8AxBrT5Um1kWD0G/UV0mXFUYQcZfZILVYAxBckiZCbUBCUGvUbU81B8VQVZZsGHldhNBAAAAAAAAAABUlYjhWF3vQE5KjP6EnSFB0wN7H0/SCUGgbmanPl4aQZaCbzJOFyFBvks6+FQ+DEFXOfZKE+sOQdIMyMj/WglBINkvMulnA0GLw5hxC1rwQBANe2ScOPFAW5aFhlBfCUGZuqVtIPYTQfNNZgBqghRBSJK6H2xJFUHv6bUrnPcgQVBEoDajmB9BH8s6LpWCBEFvOOdu0sr8QOD2uL2/WBJBC/Np3Y+WCkE0fahLlowUQfmSXeuclAxBuBK3CIXiC0HMnh0zwCsRQby5nmBiSRFBeSbQxrPlC0EAy85r3ZcFQZRbkyxNEBBBGM7ZIXlx8UAAAAAAAAAAABqTtt5MIu9AIPAzpUz580DdTFAzhAzxQH7hJkO2eQJBRfxpY6BLBEFLOZvyMvsZQW5nKjM0xfFAOmEGIuko8UCOMCNQJ2nxQDPqkblCxBVBSgbCSc9dD0H0VdMHS+3xQHaIKS7tfhpBeTk9FFeCFkHkpfzZoK0MQcy707txDgxBfslkLQWnCUG6QI17i48XQRm7h9p38RBBjF1qj3xPB0GuLP9b9coZQXizs37uIhhBx4P8ygLr8EB722VbN47tQHXgpXrRWBJBnoRIzIN1G0HOBaaKCngPQXTuUhCgbQJBrllAQpVn80C/hXq2LjkTQQAAAAAAAAAAHDQjdHAtGEFA/d232tYLQadqnpjAVO9AIbo5y5sDFUEXn9D3gtAWQUZDZrYkDhlBwy2FHCgwAkFS4JAaPLcIQe5ZmQiT/BdBPE723j6OC0HI1rYRKYweQYqbYQv8/gpBScOYuGXkA0EqT4GFt8oLQVGVziQrPwlBzFbBWHwqAEEAAAAAAAAAADgvtBx/CBVBxEfRFfOUCEFC7weyNMoNQeRqeCjORRJBfmuGjb0kEUFNtftX5I0WQQB4IF0qOQlBwLgAVaDdFEEAAAAAAAAAAGz1v7Sgmu9AW0zIToHwDkFi3oB1bTkaQXrGLPuysx1B2yqtIreyIEGhHXTGcxIYQYx/8UVTj/JA3VYlWclmD0GvSEdvA3sJQVHkI7GM5PxAVqij5QDX8UDej9oXiqz+QAAAAAAAAAAApLHaBmBQ8kDGb5a/j0kFQWnCQBHzmgdBJYtxtrCfDUEWswNlVlD+QAAAAAAAAAAAMoJBIWMDF0EbwuFQgpgiQQAAAAAAAAAAKq3vjK0oDEHu08pjFxoMQYhSX0cO5BNBvmVY5lSs8EBFncdVZlceQfJz5/QoRAJBw6hBNiA9F0E83BGd3n0BQcxNWiyrSg5BLuFNourtDUEAEe7txzYOQW2FobmmNQ5Blpn2Omod9ECAkG30fLDyQP/AKMHjIPRA/sWKeWl2EUEcWl2OKAAdQa5N2rEcSgxBkMPeAdUNG0HMnmR6fWIhQe5WHJTqSCRB5e8asl9eAEFKE4aSzDgjQWyE/w0ElSJB7eLWtLLpBUGQSS1e54MQQbE0z+kycCFB5MBX9PDSFUEAAAAAAAAAAC4eeKIwswtBJCzhkuUx8kCmMe3f1+IdQcJqIhtaKRBBn/BsSvoJH0FdJUKllE8XQY5Q6gl0lBxBAwBunEXCDEEHMCLWj40WQaAPhTN70A1BAAAAAAAAAACiBG9g+8D1QIwgx3yTjAxBQyxOX+J4FEFU8mnoHnXxQFw1omcAx/VAZi6q9LB7IUEAAAAAAAAAAAAAAAAAAAAAt9KGv857GkGMXxdqpA4dQZZqIPMs1whBeJJQIOZ6CkEtABYuFNIUQSLwYqX/lCJB1JMmbTM2G0HVWp9xIGALQfpHXGabNQVBhfa/iK0r80AlCjema+bwQD7xt/UazgVB8x4uV67lFkFAgoLQLIwJQSLZ0Ghk3RFBDDyHK9TbGEHsMTc8Yuj2QEd5IAlw8hlBHRmVxH7XF0G+R9wuCZoUQQjY7SO1yPFAqogIFJWxG0E8QvIjAbUAQQAAAAAAAAAApRk/exF4DUHU44HoHx7yQNK5c32nQhlBBkv/qlhSAUGG2EybhncRQTL9iHi4JwpBo3VTDezf8EDjfr7tUg8VQd35bIJz9xFBRstS0SnI8UCU9qzlawQUQYXdYFDCAAxBYjuXLdur9UAcRocTydMAQUfOEFls2QhBr6cOsiMRCUG8fP+wc0gKQWqkU80mGghBwccLtPtrDEFwPY8OPrf5QCfph8yerw5B0XoE2X1LHEFKJbo1Hx0SQaFfT44vkCBBf+j9fHWmIkHkToOAeoMCQWIXSnu9agZBAAAAAAAAAAAJPW+oQZQKQTDXaGkNzA1BSCwRLsiuFUHd76t186UZQSF+Pl5nEvRAstfn8xbOB0FZiBPPNVn1QE3K3z9u7xlBNCSnCmqoFkGmBTJcrN0TQXl5QfawWBdBojSYNH/3DUGUY8lmHuIIQQAAAAAAAAAA57h0vrZBFkGxSVDIeSYSQUhNnOhQnwxBWwhK9Paf80A4owaRQgkWQQnDpmaR8AxBu9c86F12GkHcXAz9uhUGQVWu8/yGeP9AX0/XmKQK8UAvQrbIhSgdQa4+olJlmvpAJHOpTxHy8EBMlHZdcWjzQIvcX1ykbgtBPiKzRsjGGEE+ISvUwuoMQRJxVsYc9AdBasVTYz6VAEHii6cBvkEFQWQR88JPawlBvhkCgBsCFkHCKPx10P8GQQAAAAAAAAAA3vxOvziBBEHuVO1zgRQIQQAAAAAAAAAA8js4uZOwFkEAAAAAAAAAAHSwYGhoRhpBDEB4vA0i9ECnTGU+5NgcQQAAAAAAAAAAbm5Sp23g8UAekF/fe4oCQQAAAAAAAAAAxi0odKRr8kD2cyMFkUkNQYYApUifUwJB6sR2zx+w9UAAAAAAAAAAAAShRNYVlgpB73YWMsH6FUHB6We8zUoYQdZyJVflNgFBRmshwr1GA0GolP4PsvfxQApMsFT/ix5BAHIbsZROCkFKc9J1bSD2QEZHkBNC1v1ANopCJMwIEUGwpGuFMfABQQFXN+wUOBlBMv7DuRKLCkE0x2wXGawNQfLHGWTBqxdBAAAAAAAAAAAJG6dh1hIRQf48QDuydQlBAAAAAAAAAABLxw5NcF8KQa2qWXdIGxFBq6RZ9Xb9FUHSLGrOmYITQYxzqm17o/FA7uTnOFqZG0HNCrtOWJsZQeoPEhmwHQhBvLdLszCLCkGt2x0IlQMiQey4IjAHpBRBEeEE9jOVGkGiITPGxTULQQkNIJCWfQpB3oHLKfeM8UDh+G6Sra7yQERQPpCTBRZBlgl6ZN+YDEEAAAAAAAAAAJCWJ/3OyA5BsSoQBIrc/kDqSbmwudAYQVsUMKhFKg5BSsxrq/98F0GAwlgysj7wQF9QxjX1PfFA7AxR2yt6FUGWKo1vnA4LQfRrNOkYGBBBkLkRrCTxCEEDueF6tdkJQYIO++DKiAtBkGhzEayqE0FccxwwYUIiQSAEZZ2cNxFBM6aeoxJHIUFAiau5rjQUQXdFgwFnPwtBFv3cM0PPAEFOF4a87+bvQPIeZ3uuhwtB3kLGy1jMDUFoIlqfBykeQZLhnUBXSRhBkFWn0dOqFkHk8mBrcYsAQTou2p3LmhdBeQocq/fz8kAC0VIkEt4VQQKH41ZKjAtBqEBxEDv+C0FGJyTIJtUDQQAAAAAAAAAAakncWefGGUEbaQ1muCchQQb9JahmQg5Bq6A107psDUGxs18UitkXQeeeeEOx9BdBPkt2v4nlHUG4b3vVBfn8QAywlcRy/AZBCrt6rjhDFkGuBGY8KNwJQVbcudWJAQlBIm7A/bNFG0FzjJ2/zmvyQBqfe6IuUQhBIKFUO16dDUGRw6xnOk8cQc7wFfu/WPFAKP//NrykGEEcYLfinrkjQV4K4x9u5hRB3AyrLi/3FEHEeyEzA7kiQQDYq8dFOglB5qfWT75w8kAuHhzppscFQQAAAAAAAAAApHiz8loHC0HDfLzfQcgVQeWNx8a33g1BsHT+qRzjEEHs1gK6YNAKQdwUHNqMwe9Adz6vjeEVDUEYZM/+oSUSQTXhMnYPH/VAV3HD6w4+CUFK/772GlsVQdoS6ZNpJfVA6JG5D93mCEE2WbCUxr3zQLb5dlU25QpBjHibOpOxCEHAVS7kXUoKQQAAAAAAAAAAQOusrFOwC0FwHwAA3sr7rWgAAAAWAAAACAAAABdNb2RlbCAoUmFuZG9tIFNhbXBsaW5nKegDAADnAwAAgRnPhkWLLkHzA+xSwbT3QLzXc2YLdiRBoBHa3R5kI0Gch/40EuAwQfY14lqRSSNBZ1xAeflXMkGzFOlfnrskQaEVijTLli1BggoYvOl0HUEQNR1F/zf2QNa6qGeJJCpBXI3C/x1NEEHGRph5Fi8VQfhXLO5a6S1BE7Wddy0cFEEIMSg38FwlQd4vVZ/HLSdB1409eyWQL0HDRTqLTa8kQe6yh8LkjRJBkn7wq6dpIUGoPSb4iBUaQSHFr5/zPCdBjvNQ9lhGGkGpEH2BUL0vQfsJXf5CKBdBIZu1VJvVLEFlhFq8X9ouQWu1C2hZmyRBo3bQnb4MMUF6V/SAZMQpQRrvL4SspyNBo3PPTLImIkEkyQ8fKRgrQRVmmv1g2SZBGOX5wwy/GUE+qIpt8GckQXnok60hv/pAMDm1qJixGEF8LaOezYkuQXXRQ86tJRxBpEA91EnkMkEwuv1wpK0zQap42PS2BxZBNCG5ypGn9UDx07dECM0tQbR8/tcCdSdBVjVVecWtLEEOp+GADhIiQUTizIK3mCZBi7LXHqcRMEHH1wZYxOIXQQ0/4naozytBq1yoEhIbGEGFtUFs4AEkQVY67sbMACRBeQmH8VYgEkHDDlc+oiErQf0Byhi/IBBB8ZFLI+LkLEF7dHnfsywyQZMNXBGPrBhBR/5luoLu/kACVt/x0VYbQUPAlzrx4TBBt8eB7ZNOKEHEfp3hBpYnQYz/yAJ6kCxBtDuMIwqRIEFIaV1sTE8iQZepDVR22iVBHPDh1IlZI0HLnH1opz4WQSwPF2uzdPdAdOyvGGvSMkERPzDu5cr2QMGazla5axJB13Ul+0xlHEGsFBhaFwUlQfCRXXwzPvlANqjxZXHxJkGe9lMF0CEbQTqdg3zPhh9BbW4OdOOrGEFoctwdBnYuQX1JRLdIIidBzbMBlRtYLkFedAbUEyoaQQrUipe6SiRBT7DmOA+wEEG+ErEVMOAyQRo/vvMhkSBBQgNpddjrKUGgRqQ5894ZQb43EWUfKSNBhrh6d/zzFEH8ZTdW+OUkQYSIWBQ7iS5Bqo1YJGq2IkEsdNC0TrkuQabbR7xx5y5B7OR2yuLIE0HMoCTD1B4qQejW+1Y9OitBmiFbWKuaG0EXN0YbDbINQWXQW++yXzNBpO3Cp0wxJEELEnDdtUgwQdYSvrk4LjBBs+9EKB9ELkHVAHxw4LkZQQhmetVxXCdBkFiQ4UNOMUFJRY1cFM0xQbh9cmS3CPZA117fxc7aMEGT4+7ZN4MWQTlmSQ6IDy1BFI3Lx445FEFHNbSddMkOQcdd6Ea7SyRBMwzxCuc+MEGgtK/4bAIbQVsrS13MSShBJwy4sRgJMkHmFs4XGT0ZQSoiPUQZjxxBYGgYwGZKMEEQv7w3Iw4iQQAAAAAAAAAAjLurR9dWGkHabD+S8jH3QKq6iDYlvDRBqsEKNGdOE0HmOQ49clwxQTj6wtfHoBZB/asLjUgQKUEbuYpmyyIWQWuB4knU5iRBj4bgSC1pI0FjyAoNIBUfQTdhXYaqviFBvKq4FeyOGUEO0pB9XbwXQWtgNfW1rxlBiOONhZTsG0HydDD7n6ccQbTGNqGAJzNBBLuRmUKzFUHq3tbZSPQaQYomcuaxDPdAd1kEtvW7GUEnCZ3ukkMvQdByqdCd6BhBIHaCO4XlIUESbNKKxeglQSbxnhIbcyxB/GZazA5qF0G59BNVr84eQYoU5wrgYiNBTrhS0rNeGEFRgQQyqBglQcYSL0285yRB7yQo8MbaGUFsZuS7c34XQRNbixhedBhBSmWE3hBRFkFSLyhrKt4mQRQifm+4OzBBGOrrcgFXLUEQ8z5rTy8aQWvlGoLLIvZA0buTcX6+LkFc2KNCoygdQY76V5G1NBlBhvFqtqXZFkHOwmg3B+0hQfIODT9u3xdBrbaew7t6GEFfDuiLH7QjQe5ZRhqzzBJBW7zWuNmrG0Ez04DcRcsiQWheeIDnnyhBthKPLPehIEE+wgJ/q6QcQRPuwjRKnRdBlnXjbD4rKEHQxdFCuVk0QXnGkH/TUilBAUyoLD7+J0EI84U5FR0pQVoIPZCaURtBAKO+qFFiFUE4LrkUrWUqQbabFDZ8gxBBPsFpTB6pMUFl2nQe74cqQQAAAAAAAAAAFBvEpu0KJEGYU2V3DAkrQS5A6gf6KRRBgxCuHKQfNEEjiPfRMhsmQfDwCHA60yNB7tNee/lKGEGvsl9YRjouQRvGywx73SBBiegSlOiJM0GOKLZJzs0qQYU7f5MGxiBBvxga6YmNIUEz14EvrCojQRfARC8cnCZB+5mP/ZQVJUG5KT+IgpolQQJl7y65Jh5BfG2aEAHFNEEUubrjN3wZQeohA+ivShxB36wmdbwAKEEnfIi8EIchQYR7yyTUrhVBNz36Bz57LkGeCY80SqgyQbY+6EZQ2SZBHszVXIEaJkHVNy87iMkSQXQmOHGv6y1B7Ero0jEsIkE202VpEs8mQVxRtIjJ1xZBH4Xk6TppI0GxGH1Yd58yQY7dOKSRZStBxaG7XHPQJEG51v98ieUyQZrnhVpDHS5B2U2S9brcMkGl46bu8JsUQd/Z7cvd1RFB2NgSrnf9JEHJmn18lNAlQV8dytY2WSRBWsvqs+I+FEE++GW3NfYvQdsozJychyZBOuK6B3PiLkFexNA12ogTQdtVfa4Gjy5BAmiqjG8uI0FiBEqNU5QoQfResfEDUPNAPIpH9XVQK0Hq4O98hNAZQdcjBsq7kTJBCuWBSoZKKUED6URaPDYjQUYKReNs+fZATDHPHKK7MEHJmMwtM8Y0QbYKKmCo7xJBrg3EaYzgLEHZM8YkEI4aQfyrMbkdHSFBtl9pQmSz+UB5qg6qTmb6QD7nuBGsQCVBehBpm46dJ0HkUXTmuI75QD5S2KSLJTBBknWD42vaLkFu3FUZ/l8jQVI1WfRVfhtB+lW1KCvbK0H/j2MN3ZcxQQ+jOvIEdvVAAMyX4qd6JkGVcwbxg34mQYHU4fcx+yJBqANaQ0+FF0H86Eg041UoQQ5Ew3lSCTFBRtmdEz5wKEF4BmGwlOQUQUhzbjGQpCZBNsvIfKCYJUFL49McftkSQUKcmn4PYC9BjMkrffVfJUFRW6RexH0kQXOoer9TSjJByAeSN2paM0EuMC0GrJUiQbWEp0UWURRBJtfRi4vQMEFXRFpTNC4cQSML346UXytBTHcTGM6/F0HkvrarqcAuQQ4mlM9FZiNBakD4eHj9FUFd/he2Dm8oQcA3FXklTSZB9VGsPhpDE0EJXWUcWKAtQdA7+pAZ1RhBknRj8AMbHUGAh1agp98lQRaAx2D1hhZB5s6GpHu0MUEAVNF+DGopQYZ9g7yz6hVB+HbI3mtlF0Eq85yDnuMXQVCaCL9GBRJBuk9Fm6AoJUFWrya0nO4wQROJxLhFryJBssd8E8G6M0HhPyV+bRknQVo8XJ3cPyJBzmuIPzaKJUGSdan1/jUYQao9qxR/BRNBnM0Vtr7sJEFwKohVM7UlQc7qe0MAECZBqgLSI1smMUH5DyNzBVglQQAAAAAAAAAAiFSbByaCIkFiWQ0oZCIkQYqSPLlDYiRBWGlXtQPEI0HwqTBLkhgxQTZPV0OgDxhBBp3xnAj0LEG4a3WJo0wwQdE29e2ZUCJBzOMWrSVlK0Fo6GdLzJESQdwrL+FoYCtB+HBOSKC3LUH4JNtJBg8rQawEUa6jJBJB/OmBKZ4nLEEs1psnA/EZQaKvMkKCNxtBIWoR9FsK9UCCj2mq9lYeQSQfFf8q6itBHGO3oqqIKUGIoGB+XOArQX5enCSHJBhBDUVKHoKvJkG9yrypGxMoQZYyglaTCiVBASaY5fA3GUF7S03M/vX9QJFKG+MIZDJBWNOQ/uOXK0HKcfE4qAswQRkNPhNKvylBMDkFMo6/IkGnx9cTJg4kQTVZRdlhbjFBZbRUD7t/GkFjSZkCLCg1QYT8T6VSLBhBlPaKeXI+J0Ez2z9JOawYQYadZa9nyjFBMNK6/fiIJUGQWcEHWQMoQYZk2NAAVCVBScoZLTH3HEGad/hpMLUrQaYIcx2RCyJBSpCQbbj5JEGZ87e5frkzQac2MriVDjJBQWVZ+o4RFkEDWmpvwSQxQeIWFWpZYS5B0RmRuZQfJEEmBeLwp8UTQY0RpDCnYy1B7twAQSeMJEFiBWZTQ9MoQfL06GXqqiJB9vk7vjfVJkHmFEjca0IrQbhvWPFrChhB9XC0kTZpMEHxEJ7ih2wuQQCyxwp40RFBQuVoyqua/UCU8FukUqogQa+Leo3WDzNBOkFS53RgGUG1AQuns50gQc4QXyZbay5BOcYBvpHIJ0H+s206SWEhQRBlBypRoxpBJM3YHeItI0HgjC3r+5vzQEgxDi+/bSpBu5pini5nI0FXG95ehRsYQe5eE6F24jRB0Mu92zgiGUGXKF8kc6smQWbtMzBYQhhBbCh8mrN6JEFKDcac08khQXlzJEW2jBxBuBKLa6ZcH0EOF6I1fin2QFnReO7pzzBB7tsGci6ZJEHoeVi0u4AeQdhmO9+TuiZBXYUEDjnlL0H4YBfY2F0wQUYBRLbjhilBN5sHd2ooMkEuTvEXnu8iQelujD47hRxBEpFotn2ZI0G7wlxXg8gvQYGV1r3LhShBqA+H55DxI0HdM92VXI0yQS/U0oajqBlBBuO0mtnuGEHqIKzzqnEeQbJJLjsi0CFBFICMRSGcMUGTT0pI3UwqQXrJa9U6AitB9JBaFZHDFkHOYA2OBfI0QR4VMPcOdBZBvQfYM2Z7MUG99HcQnXkkQYrJHa2NnzNBAAAAAAAAAADUxUAT1v3yQF8b1+TgiylBn88PrFb0+UBIURRLC04sQfz9RL4WSBtB2x0FWChjKEGSnTFB1BYrQey1Aoz1dy9BGldOGK/QJEH3gGQ7qWYTQZXH1A1/ahtBW2OwHlB1KkF4JOEsKhQvQdM0fFz7eCZBpXLV5CQZJkG19TIy6jIvQaiatxURpxZBAAAAAAAAAADls2RpFBIhQRCvNe9Oqi9Bwo0buq5RIkF1Fx/wkZoyQaqh6YkHHvhAwA0GjHpeGUEAAAAAAAAAAJuqkJwdaStB779gDa2oGEEoaIH3oocxQcjP5v4Y5xdBonec3t6LIkFHu9i0r9cwQWF3gypPUStBTDLjzF9iF0EYepu4aZUqQXigeLkyARpBxKE4j7guFkEA34+hY0MXQQo+GzDVLS9B1qWlsiy0L0FoLe0X9T4yQXlfIZzNxDFBd6b+dJi19UCgO0Ie0f8lQfLVbf8J3RVBGbRoDrXwKkHZ0XjgxfYnQS7BgY8FyvlA8HNpGIJQGkEAAAAAAAAAAJ4IOyAUlSxBsMRfT2LmMUFOdiqqVK0nQYT3epgjLyhBi2XQjnBSKkGsKnZoVHwiQejjutlYvRlB0NOoo1SuIUH2CmQ3CAskQTVtc8pXMStBVQ7LxgjqJUFuqBZU2h8jQWE2Q+pKGzFBOCsnpXawMEHIkM+vWHQkQQWS7tOt8jBBk8fFh1HFLEFg4z73MPIlQRP7Xa08wxJBeysoSQrPLEGnJ7b3JDUbQTgR4f7CWhlBw+6YxRwcMEGykhYO6dIYQYhg1D6zpSZB7BxN71z6JEGK/GRSojAhQTrCUrY/+RhBNwN1PT0ZMUEKOftw0F0yQVkVIjX1+DBBFA34QeLoK0GvTExf2x8SQUXBmGUdnydBAln/pyjlM0EeHXRxEe8lQcwa5/fzzxJBOPaLNC7aJkFpZTfKgC0oQam9XhGcWRtBxC7c1syGIkFwDdGgQ9cwQQZbtgqtexVBaAs6Vkeo/EAYR91uYIwiQRNsFqFipSZBmApOznX3IkEAAAAAAAAAACBR7sghoxFBfqzTQRmFKEEVvzvzAmEwQR0C1C6C+R5BTrQnNJsLLEHkhfU6K30SQYRPh8tNDjFBzxlvhvhG9kC3MKRLibkWQX2TmybkPypBNFZMWmcvEkGQFAFpzS0ZQQYA5Fw7+BhB2vW7Lyd1IUFfngC6qxsbQQy83YueViZBxKe5gOHIJUFSMs8cZj8kQVin1s94TPhA9WTGI2Q5IEGIZgUn5rUpQWe/npWsyCVBnENOKmheLEHmKsHgraEkQdAVdJJz1xJBLQIP/j+oLkHIDL6Qtrf1QABuv0PF6SlBbDBBCbaLFkHHxMmgNhgbQfsUXoCmRCJBjiINekS2JkEAAAAAAAAAAG/7FeCqcDBBnqjPLXV4M0FYVYE6MqglQRaDqmcN7yhBvX5a8POVKkFLNrmvrwQwQfbspsNEQRhBVJMUoNPLJkGSlENKEJgXQdozc78HGShBM7MSSmyALkEBaNcBLsMmQbjh3vGHDSVBFalmYktzEkHMh9vURX0xQcqUAFv3IRZBslKqRNbQLkESKFyUOx4aQYX2Jm+cOxhB1rv58gYnJkEbwMTrOqwsQRVNKCKhMRRBkDklnIbZK0GA0zzF45gQQYxRactoSDNB5vkcpHJvMUHOg+69vYAkQct89Zr4MBhBCkGUMGxUJUGevCr+Ij0uQel3nRNaGzFBvvaC0wguJEGq/TgVe84TQWzByx6uSSRB8LRzSxVbFkF9ZBa5fGsoQaOlfdkQghZBeO5KAA0eFkEiqc0Xdx4lQTDrtEg99zNBvF44TrUxLEHmQD5v1mQtQedyo+4g1iVBvcpc9kjc+kDiK0imB4gaQWPRBJ1z9DBBV99GqLS+JEHOSL8VXIYhQaA+pHts5DJBlC4E/9fRM0GODX9EJEwvQcV2aW75MSVBaVtvPNzcK0EubzHov3UeQeDWGKsDARtBrskyQq/aMUFyt1mZC3YoQcy1XW+GxylBqS0t3IjQGEEG/8Tq6/UrQfNhSdy+OSdBpJML0bp9JUEOu+JMLjgkQfhIQsDFBTFBClpt24YHJ0G2dMXJmG8xQbQe9PdARhtBhrkLhOF3GkEAAAAAAAAAABERFWCKBiFBYQuOJMqxJUF7yirJu5c0QTBjQEe/uilBjFjeN7fXI0H8LBILh9ktQQPoCsBZihZBpv3jFEXXKkEzSgzVRwkxQQkQF1LZTzJBAAAAAAAAAAA+PqG5rVQkQfxw4GcJuCZB716MnKAmLkFhLEHyVV8wQXAY0H+XviRBmktX4z4yJEGiS/HvLrMmQfSTVOmpfSJBM2aiAxa3MkGI26u53ywkQW871rVrRyxBc4/ERCMREUFSKquqbHUzQaLwzWP75SxBEIVTbwkSC0EDlZxHdvMsQYHNDfrn9xZBO7MdmhluGUE/8gjfq7k1QYpW+KveyidBnJxCjbdaJEEMpkZ8PBElQWaXC2YzITBBZgj6l8EVIUH6yEhWAugvQZw6685DdRlBRN/UL+YyLEGwLkREcrUyQdq5A3Uyiy5BulAYwSesKUHG9dHx/+ktQebl67ZQRiZBlkcUMUFi+EAg1FA3q4waQbEw/LhzszZB/E//GLAwJEGCkE1QI14UQTKudkrb9ylB1l208DxWE0HQonctpa4gQVxnvsX8FC1BuF0+gE6AFkGKB2hzpRUYQb7lBFtaoDFB0j7TmOXzKEG9u+3W64UxQVmZmta0NDJBHzIqmLVvJUGczFII/4AXQeBfnSqJZzJBWGKNHZx3GUGL4Uwfr7gnQQjwfsn/jxtBX93EuMMzMkGaST4+MOszQbJ5VFkCmTVBQpXc+t6sEUE7KbPDoWUXQY/lyOtCHyNB9Q4zI0s/KEEVKKhXhi8lQe6dOJhHviNB4QbcfcUcEEEAAAAAAAAAAMrIpnpJlSxBl6FCrc4RMEGGXI4dh9YlQV8wpULKxSVBOSB29+SGEkF227BRZs8yQURnBgay+ylBmXJDSHzhLkH9CCNpKzIyQchYWSTSMRlBzBEbWtwCFUGYtX/GX+QZQZ5jW8ODIypBPKcoY0SbGkEKVKuovbIqQWawixq0iBZB0hf0md7OMUEzNNYilQMWQasJckQCPjBBXO+4BXEiIkHULJF5SywdQderJJoepiBBAAAAAAAAAADkMKSVkMchQbo/YgXcIBhB9lUsC2RlJkHbrryDhDoxQbmSx+hmETJBhHmBka7EJkEAFiVzkUAUQVlRqR6/PxVBDMo1bVO2JEF0ShlxhVQRQaIhTo3H4BdBV3eUFWrpMEHmcAqz9534QAb6ePI7MCFBMCt+kMdIL0FZRASChGv7QHTe8V5e4zBBn4krUd1uHUHSizyHtgszQVJkW3mAqCZBZtvnSq1yMEH5pNGHBkgnQeHk2V0vTxZBTC16oZzsGkHevVLZvO8lQVUaVYT7VClBIHk11UEQGkEUrwotcSsiQYRJsW0cNy9BBQqynj9IL0HG9XqPe3YkQRaW6G5/YC1B4cJdDQ1KKUGSgM2aKn0mQSwKSecFyRdBJS37kag3JkEBiUSzvsMyQQY3SWSVSRpBIH6Jsm8bJkF3mA905hsjQfO6brLZbxJB+nplRXPJKUFY2Xj+BkclQT0lxUWNmTBB4I3ku+c2J0Egh5mTVS4jQQi4XqS9xRlBHO6pXSxMJUHVzPgaudUXQawr822pl/lAbScNsBDeJkFOIEqiODETQUcNH/VrrCVBMyvUwwSGI0GbNAsv82AlQbM1/RKVEydBD+J8s9SHMEFaYHTlWu35QL+4QHWzBCVB1JjV+EKdMUGNYx0a0WsjQX3xZMn9BitBqDcEvd5ULEHEFXpsbZ8wQaEYWcnBqPRANlkrWJLOLEEA8nadxRMYQY9kqkBd3yRBujT6EFVFMEGEJSnXM6UyQaZRmo5l2jNBef59jt0YI0ErW22pcxgiQc1sS3lftSVBA81Aba7mI0Ede9g1r9IxQQWDwbp/IBxBalvkg2B/MEEvnXSHkmQlQQ04XRPrqSdBvgsmi/mDKEHi96s0+gcWQWCJbSHqTDJBMgoZAeACKUFcOIHhhLkbQdjAycMaVyFBBzHw637/FkG+V56km8YrQeNkuft1BihBjOGbeYV2JUE3Ctdv2qX5QB200eL9tSNBByFyjtfoMUGAwDUClXUmQdonD4ZqRipBmDu687KfJUG4ausNTskgQU4lbWKh6CZBDLi1tYpVL0GMhlyrK6EzQZhR6n1w+BFB1o0gYO3X90BWxo0T7JkyQXpzolXx7TFBLgeDUveqEEG87B7iSxIWQQyGwOnEliJBRIorXOStF0H27WVP9gAbQbS/z0FRlidBycDdZoQ6LkEZeLzZ6LwkQRbTJpDEUjBBWTtPymcPJEG06wBBRXMQQf+D0e017SpB5SF6nQ+YJkFueRA3s98dQR/P23r4dS9ByE92a/CbLkElSsFhPYkjQczjpCt/3CVB6MJmyfZzJEGLDTJdLCwmQXp1vj3iOiJB4xQE6rZWNUHGSPzdxawrQTDxEXTTuiVBioyKL7Rt90Bchl91hJEXQZp90RTCtyRBFgUyFf5yMUFUORs1AUUNQeBZSSdN9xpBslsJh8auKkGl/j3BoV8UQeV+HWzQejFBL5Ahg1mALEGq8WyqlS8YQX1JB1kPSipBzMAzZ0VSMkHKch0PPVwwQbTINzW0MixBhWQlNBPsJUFGgwL/l6cmQZjbLkXNqzJB4yTukyt1JUEAAAAAAAAAAP5bs/3GFSVBBXLDC0T1JkHifzPZOhwmQYlgqdKbxS9BeZEHYYFyI0GslNRFK7kxQURGmg7QrShB+P7Bw0POMUEMCGGl8gMuQeyE6k8aNCNBhcvrZMdHFkFspxNuc6smQRG4Czoi+yZBlh4I9kouJEGQhpF1uEoVQVbSCHF2/PhAnnuiLWCPJEFFBIXpk1QoQaTb0YTskxhBe0XhvJUJKEGSUzA7E8cXQdR15BggrhdBDPKJwa5uI0HaV+V1Mg0PQXSCdUw1/RZB8pMMrk25JkFLZOs+lgAuQbUQijxfJPhABf0bASM+/EDoEuSSS/80Qc5IwQGkyCdBIARPzNivJ0GDkZnbizM0QbJFEek3SyBB1Q3Pfe1L+kAXPs9jTIQyQdJF89XidhhBewf7DE6qHUF9JV0YyZUoQR+y5uEhcRBBEwEfRqK6LEHvL3wkaqElQe6KyHNlfCZBCMpGfjmWI0EdEAevAbcmQYGw4Jm+4SFB/xZnB8eQMEHSLC0bLDIxQeVVSqvheTRBcz3IS5n7J0E1A7GfzN8nQWNmrrt0wi9BXadigP3VIEHycJVgN6QWQQbhKreiuyNByHP/4kgmM0Emrrgo3vYhQQuc+mFsDzRBfv8PV/y9K0F525aAF78mQYvgNHDkgDJBOJqHU+7iJ0Gqoo5DiicUQYQXZfiUsCVBeSD438PnF0FzQRNAnOAUQTWyFoTBuDVBDIfgYbYSGkHmG3MVDz8sQYLWyHoOdzFBIMZdugVRJUE41vyDbYkzQa7UIbGKZR9BAJ1cfDUHLUGwtbIbxV4ZQYRKMZEIDS9BtW5Pi3YqHEEnWkVo3F0sQWushfTMDixBsKiJpjkOKEH1FC4DfEIzQcjDCgU3PSNB/klOyuHgJEFSQGPR/pQYQctuJzbi7jBBFNqv3Hw3L0EnM6rYCmoeQbJITmyqUi9B7+9wlVHu9ECGKt6AOGosQaeLbQ5neyRBGLc1NreqFkEZA0eZi3MWQYlg0ICoaytBHN9Od6QbJkEcfMSQYtAzQVCG1Yn7Ci1BxruBvMt+FUFL4mysBLYyQToCirFrWRhBg94J7IUbMUF64p2+9bYQQUtuhcqusRBBNPn/JX3L/UBdHwAA3sr7rWgAAAACAAAACQAAAAREYXRh6AMAAOcDAAAvv/r6AhrwQENWLm7ZlxpBEzRkacXRFEF8GrRvT7QZQcvscU7uuw9Bp2ZWObu6C0GVXR+0DMMMQawTE/h6Bg1BLZHN5h6V8EBrqI4rCmvzQP3uNWu5RgpBbolSW3YG80AogQHOFBgNQf/JxS2d1BJBkHxiNd2rIEHaWV8Sa6QeQQqo916V9Q9BqYnMA7lTCEEmdUWt+OgRQT7HD2NB/x9BfR8uPnVkA0EAAAAAAAAAAOFxD+NpZglBGie6KOhzEEHcUAB+DBAkQRa60bFYRAtB8n/FSIuV80B8caGmKNwNQayjuEYJf/FAC9avM/HwHUFWvN0Nw7H/QL4nkmRIpAZB3ioTB3yLGUF5KQSovjsUQar/ROta2R1BOACrk4cjDUHW55NWizgMQSIeW7cPFxFBg7pFB4yVHEFzYfB/V8kWQVa6Dlq1LBBBME1XXKceEEGak0pqnE/zQCNSTKPj8w1BakgYnmS3EEH9pfZcpEclQeZuK95mXRFBRu7ukTmOE0EqijaD1171QDbdyseTbvBATD+eGtekHkGodTlTMZMZQZSSVhhHDw5BiBxbx5KHCEHSgl3xE5AaQT4VmCK3zAxBIaGRYaIFCkH/5VgaxrUXQaKpvjDAFCJBiG/Gy01qA0HgrEx0Ke8OQeLq/Svt5vFAAAAAAAAAAAChBHo66hQWQdj1DOH2PBhBwsxhoDrNDUFKR1AmF4gaQahjYPShJglBcS8i8Z1VAkG00bEfRt0GQcxt7jdck/FAGoqY81/Y+0BY/Skje1sKQZLCYFBsjhBBQjHs0VAdF0EAAAAAAAAAAAAAAAAAAAAAXLLdvL63EkEi6lMwllUSQQkFhSriJfNASsWpzvvg80B+6V6zi+sQQZfsIW2fQhdBalvucRjUD0Farm/5SosLQQMH6xaoGw5BTzAbkDh070AAAAAAAAAAAA/mmRL33g5BAtS3rc1YGkEQpEG2MeUZQQAAAAAAAAAAgnl6OCUNHUGUTPo7ilkUQTRAjrj9bhdBWJUjgtR6JUEz6LM/Hu4WQXpT/tM0IA5BiN4sBT3MC0HzWZQvJIrwQFcQnL0LrQ9BtB5rR1nSBUGQ7KsMeiQJQQr7GrFPzAtBiK4IXYuxBEEkoRtLp0QOQV4ozCXbRgRB+YseSxGeAUGopem5yf0XQQAAAAAAAAAAtHl0ABNxF0EF5jwRY7sEQcAaUZ1EZhtB8OjLy/mKF0ExXdNmORYEQe8nDZwJ0fBAyxq1ewBp9UDCfqEvR7zxQMHZzJqngxNB6JvMxAmACEEIrkqkAQcQQeGozSsXIxpBKNbRuR3p9EAG48Q6D7EaQfWU1layAg1BGitpPAgcA0HmvhQSc5MLQQAAAAAAAAAAn/AOcQDE8kAsuKwtaF4kQUaAKkuFlwhBCNCpBT7z/0CuwQdbjIIIQf4HUaZWIRxBQ5twSwMl/UA4mEhW45kMQUabu3VK1RZBcsyhE6n/DUHWxTqsg/EIQaq5meZctAZB2PVvj/vXAEFxSp2zlZQgQViILpJTlRlBiswuQvycA0FMUHglPBgaQUJ+oOblC+9AYHNmbL+tFUE8DAsWbnEDQf2ITXhvoB5B9ix+qqK4A0ESKlQLN9YeQYVL22iNkgxBttg0/cbS9EDx+WPH7AESQRbucAhyDwpBn7niwoinEkE4b/fdZtsKQQTMyPA0bBFBQs2lY61k/UDrzrRqj7oXQcd9pNCURA5B2gBqtiLrEEGxhwY2xaEKQSx3AIAY1RFBAAAAAAAAAAD4aXr0LN8NQSkDzjVUHxNBi7+vUyb/DEHAL/imbH4HQd0lJGBvFSFBx8d3RSNDGkGUu2gx/04KQQj81yTHHwJBUq9ukvtSA0HmVWjU22oEQQAAAAAAAAAAt1U0agIWGUGK2yIfXf0XQQAAAAAAAAAAMXIFbiFTF0El4GPhCzr0QLi+oSb2FBtBAC3R1c4ZDEGVylC/UbEaQZVMQo1EZRlBxMDZtbKHEUH0IRoFzr0WQZ4Qs1wyawtBkrjCHxqQ9UCQ2tC5zTwcQWbFoyfu+A1BZnK7n8zoE0G95RbuNHAZQWeNh6CLVgpBmnPFlHOt8EBQay8UYIwaQb014/YSSgxB33VcfCIYIEG+1PsEIXgVQYjoU4KGTAtBAAAAAAAAAACrwrPi4UAMQX9d2QZE2BRBAAAAAAAAAABE14FAQxIJQY2Y0qqQpgxBwcDgbuHxHEE8uQndPPUDQSADPSbgFBZBUCSd4I99EkGiDpHyc/TzQHShWw0GAQ1BAAAAAAAAAADW4ve15p8CQSjASXBZKwpBpS+ZqIW5EEFvOvDr4ZYRQRnZIO1gyhRBJF+l7Xp78ED6CdSkp2QDQeYdCjU9v/NA/oa+ZYy/G0HIa8VHIEAFQe4Ym4bHvgdBkm8sGehZEEEInESDLn0QQXtbLwNqdBBBAAAAAAAAAACg9uiQQDkSQaiGjxooJfFAO5iM4pgKDUF6bxb5IAciQfbXJ/i+3QBB0OLFJ3k690AAAAAAAAAAAIpFaWwAJgVBpe92HwVOGEEAAAAAAAAAAA0tj0k4ivNA00ckGXHLIEE2zlxzD3nzQKR/as/2gB9B30Ad6fYA80BQyfrA7tQHQfEGMpfCOBZBJJsQvY6fEEG6cOoo8jMYQd6vWhVPGB9BasIoJcxGEkHEsaHTUG8XQc1LI/7wnhZBPsaf0IhiDEHS12Th+KkLQRll9sxIyxZBAAAAAAAAAAAeGr/BkNr/QAdmHsChnR9BWsvvxM4k7kCuNOjYxBH3QIsJu6DY7glBb7nwGyxpDUFoDlON92wIQWhHwLGfIxBB6ZjEU362EkFNLEXe11QTQSz3PGufqfZA10mR5jxT9UAsDlCVNfgJQSQFeHoVDxZBSH1Oe5j4IkFUNbk/rJEYQdbQuvRLYgpBGS01abyJ80A82CaMoKwLQQAAAAAAAAAA8oQbtfnS+kAJeRU59fH8QIVPupLdu/VAg+AblGibBkHiIgPJPX7wQJYM1k/7WQ1BsBYf+8ugG0FOoIecRDoTQf4P76WmlxRBfkN7rt++G0HPEx50COUaQY7tQKJJZQlBAAAAAAAAAACMalqueYDxQOzlWpBl4A5Bx91O360/8kC7Q68Ax6PwQIUQ36yBHxZBvrLxYfU8C0FAPat/HRT0QAylxGq/ExhBxmFnuaDSIEEsyD2IYYsDQR08Njv/uAhBgStVH/74/ED8o5tZQ8oGQQAAAAAAAAAATZf5NP5u8UDkMfHZnjX/QPI7hgufegRBHmI+DjA/IUEdceAsGeMKQVj+//82/wZBRTM7sz06DkEv0Uj6ZM8XQUC85rVuFhxB5OdiUeIRAEGUOQMXeVLyQIgWpabbshJBAAAAAAAAAABr+GkkLuYPQUt2v0WRORBBTDQ00XnaH0EdXsLob6sJQZRW8qSRYAhB/Xrta2MSGEGXQdNEnqcMQeI4xWruixBBqmvINAefBUHfHmaAAJUXQUb8uQRaSw1BibMw+tfmEEGIoA9LyRH1QHtD2rH+fBZBvHjBLA3kF0GlzQkebSUYQWOAsqeFPBdBjuc89SGU/kAAAAAAAAAAAFfgqNPueRRB2KPFBVonC0EAAAAAAAAAABDgbYJssvZAouUuKesdDkERtijjyTYbQRLoElr8K/FAAAAAAAAAAACIT1zXrWobQScAOP2rN/FAl51xZAd3FEFpJEC5zgwNQQAAAAAAAAAADkBpDppQ7UAzR/+i2CQXQS8YobrawRlBmMdnwjYACUHJKvko7I8RQbjW4Xp0YQ5BZJD71VjOD0FJrLHdwSP1QFJZb+Vj7/BAoo1vkSmRAUGUeN0iV9EIQZ+fzpHCIRhBTnPM7UigEkGM37Bk98oHQSp5k43IBgtBu7jUSEo8D0EAAAAAAAAAAHP3jFSScABBP5515UmrF0HGGKG5LQALQeZeZKONHvVAdPsIVgvLCUEQbV7+CVsFQaB/drX/2/RAKEMrzq/uFkFWZ++eQ14MQeKtOnUKghFBGLuy+VkLEkHQ4e4RFCkRQYXcgFvNshtBAAAAAAAAAAC59sHwwysPQc6i8KnnzwhB6WyqyXumFUHoTi+AFJEMQaKZuM45RwBBn3uX/pEHAUEUIhrrBBgQQUil0LHMNPBARrasQq14CkHK85n+wXYcQfZFCbdVkwBBAkIrTEwKEUE2t4Hyh1EdQUJjZTEsfAdBlAYQDeTHGkE8Z8Qi5LcWQRcnCfJXUBBBmpxoO9Q8B0ESEFX07acHQQAAAAAAAAAAdxj13E8QDEHbaDFjnXAaQe++/b/0RR5BTivfj5oYDkHkSeVqcXYTQeOW033gIBlBGpZ9RUu19UBSFwJSvr8KQcvOMCDFEPRA2hk6uLN/DkHXvw0eEOocQT9o0aVaVO1AxF5FwKDiCkHirlT53H4XQf6qCF2MvwpBR3kB12tX8kBcJYawF6rzQBubQ6xKyfBA7aVLJ2NdFUGsuBpxVcUIQQgEMFZMfAJBxGSzkl8WC0EAAAAAAAAAAAR5RY8rPxBBAAAAAAAAAAB4Cg0Hxk0ZQfyEjtxt+BBBTzpNJ04dGEEApv54yBQkQQAAAAAAAAAAjI+DowbsFUEAAAAAAAAAAAAAAAAAAAAAuyMiCBqPC0E5dpnGkf4OQTLJvfPYkBhBKm5X6QyvEkEECFUsRw0YQelmyT2qAQ5B5FTSfVtaCkGQeudnUEseQcJt7HeXGA5BuCnJ8tI5H0GSq+x5o1kRQU40x0c66gVBNM+rVwIqFkHcYptqH/MTQTB2bba+xhdBnIEsU0JaBkEAAAAAAAAAAFLXCCxe1glBrr6CADotFEF1W0yqGgcaQa7tYn85QhBB7MMEVst9B0GAgj9vfOsdQWAvFeXX9yFB8SMIPll0AUEcVKlRzfn/QAi7c4G/mQVB058cQ+828ED+MAiy2vzzQNCTYMZN0AFBCLiJBFYGDUEOzgYJac4OQRDMGrUpMxJB+pSsV5z2EkGPYqKLo7YKQbiyMEBOF/5ARgmE/Oy0BEFliBsuk7cfQcJnAPkkTRhBgHDdKZyjD0E3aSVk1GPwQAmN7WKKSQpB7up2pl7cDkEAAAAAAAAAAAO4qt5opPBAC0wEnnG8AEHyugaOVjMWQZSJpWMDQRdB+uuxVLVIFEEiydw8BukRQYFu7UBa3AZBWOdcFlxEAEEcIWQnpb8TQQAAAAAAAAAAxCsYQnxRF0GqdabVdyzzQH7wOYAbLQxBFYlGNDRL80CzjIIW3QIIQV5UMe9DihBB2zAifev1E0HbyksjDSEGQcAQ74p3nCRB0M+hODJiDEGW/mSaivQCQU2HEoO5hSRBnxfU1XVFGUEwA57k8zcPQfhM+YMcoyJBXQ56U/xmDUHi/TLySUcIQQAAAAAAAAAATtFwkSS67kDlERpXYa8KQfn8L1SRVR1Bg/iuUWtGGUFgy/6pVU30QICwjgo1JQ5BOB0KWOK9FkEsT2ASxq4hQQAAAAAAAAAAOqgOt2sxH0Egy+8yy3ARQYICQr+h5xtBeupGKk+vC0Hx0k5FeanwQN4YCkBp3gJBXHK1S38nA0HyC4CAQ6MFQbCj1vVKSAdBTo288K8Z8UCoCjz5rW4hQdUVzHwHx/JArMphZmsUGUErUS7sSSnzQLVXa7mU7iNBTkBBE5YhF0FmiVG8v7QTQdfMY0XJyRVBEMMvoAAYDkG/cmp8ZSPzQIFOUIV50hBBpN4d5ybZF0EIXweBDnATQVQ20xie/RdBWs4sGhLNE0Hz3tHAKgETQQAAAAAAAAAAwb+MVZrgBkEAAAAAAAAAAIE80YAVl/NAJIAkVN8OGUE1nsPbmnAOQcoRNtFwVQlBCTZ7MTOB8UBmjse0TiEPQbQObeZ8VAtBMNKqFleGCUFMv0MVtDwXQf55dgRDARxB4HXxOTLoGEGRwEsG9jYGQbKNnYQfwPNAyqcfK+l6IkEA4TEJ8uQQQTHXHBHsaQ1BFlpbWFL78kBLNl3qa1QUQbPxlfpmvBdBhtm1817OCkEWZ0K40WrxQJfsMa2z1xZBAAAAAAAAAAAAAAAAAAAAACG8UZ1GrvFAvQ8agM3F/kBraZDFNccYQWk0FuX8SAFBSrT6NoORBEGa5AnkbKgZQZa4IpG3JPRAIjEr+oh7B0Hc9C7GHBjyQAAAAAAAAAAAbPdlNmh7FkEAAAAAAAAAABQGAPI4XxZBkI2bP7PhCEGc7QGuaHwQQVxWulTBPA1BlGRxIfBuCEE9/TwKFUkcQbiyQURPdAlB2FTMvTdXEkFYfgphhI0AQQMvvtBTqhNBkXnz77dnFkFaGxI9qooFQQAAAAAAAAAAneMhjBfbGkEUFbYZTALzQLeVbt3vmhVBoDsJTT86AkEoQAg6gDoNQTZwz9KFnwhBXKqtn3GOCUF96rvxXkEXQbsRc+tTDRNBDrv1erZKEEH0lce8kYYMQXj8F+BiyRNBODRRQWkwF0EsEumGPN4MQT1vQgdUW/FAdq+XK7v4FkFZuqJvVlHwQBT35AbDow5B2YsHl1HwDEGtPlSbWRYPQb9RXSZcVRhBxl9kgtVgDEFySJkJtQEJQa9RtTzUHxVBVlmwYeV2E0EAAAAAAAAAAFSViOFYXe9ATkqM/oSdIUHTA3sfT9IJQaBuZqc+XhpBloJvMk4XIUG+Szr4VD4MQVc59koT6w5B0gzIyP9aCUEg2S8y6WcDQYvDmHELWvBAEA17ZJw48UBbloWGUF8JQZm6pW0g9hNB801mAGqCFEFIkrofbEkVQe/ptSuc9yBBUESgNqOYH0EfyzoulYIEQW84527SyvxA4Pa4vb9YEkEL82ndj5YKQTR9qEuWjBRB+ZJd65yUDEG4ErcIheILQcyeHTPAKxFBvLmeYGJJEUF5JtDGs+ULQQDLzmvdlwVBlFuTLE0QEEEYztkheXHxQAAAAAAAAAAAGpO23kwi70Ag8DOlTPnzQN1MUDOEDPFAfuEmQ7Z5AkFF/GljoEsEQUs5m/Iy+xlBbmcqMzTF8UA6YQYi6SjxQI4wI1AnafFAM+qRuULEFUFKBsJJz10PQfRV0wdL7fFAdogpLu1+GkF5OT0UV4IWQeSl/NmgrQxBzLvTu3EODEF+yWQtBacJQbpAjXuLjxdBGbuH2nfxEEGMXWqPfE8HQa4s/1v1yhlBeLOzfu4iGEHHg/zKAuvwQHvbZVs3ju1AdeCletFYEkGehEjMg3UbQc4FpooKeA9BdO5SEKBtAkGuWUBClWfzQL+FerYuORNBAAAAAAAAAAAcNCN0cC0YQUD93bfa1gtBp2qemMBU70AhujnLmwMVQRef0PeC0BZBRkNmtiQOGUHDLYUcKDACQVLgkBo8twhB7lmZCJP8F0E8TvbePo4LQcjWthEpjB5BipthC/z+CkFJw5i4ZeQDQSpPgYW3ygtBUZXOJCs/CUHMVsFYfCoAQQAAAAAAAAAAOC+0HH8IFUHER9EV85QIQULvB7I0yg1B5Gp4KM5FEkF+a4aNvSQRQU21+1fkjRZBAHggXSo5CUHAuABVoN0UQQAAAAAAAAAAbPW/tKCa70BbTMhOgfAOQWLegHVtORpBesYs+7KzHUHbKq0it7IgQaEddMZzEhhBjH/xRVOP8kDdViVZyWYPQa9IR28DewlBUeQjsYzk/EBWqKPlANfxQN6P2heKrP5AAAAAAAAAAACksdoGYFDyQMZvlr+PSQVBacJAEfOaB0Eli3G2sJ8NQRazA2VWUP5AAAAAAAAAAAAygkEhYwMXQRvC4VCCmCJBAAAAAAAAAAAqre+MrSgMQe7TymMXGgxBiFJfRw7kE0G+ZVjmVKzwQEWdx1VmVx5B8nPn9ChEAkHDqEE2ID0XQTzcEZ3efQFBzE1aLKtKDkEu4U2i6u0NQQAR7u3HNg5BbYWhuaY1DkGWmfY6ah30QICQbfR8sPJA/8AoweMg9ED+xYp5aXYRQRxaXY4oAB1Brk3asRxKDEGQw94B1Q0bQcyeZHp9YiFB7lYclOpIJEHl7xqyX14AQUoThpLMOCNBbIT/DQSVIkHt4ta0sukFQZBJLV7ngxBBsTTP6TJwIUHkwFf08NIVQQAAAAAAAAAALh54ojCzC0EkLOGS5THyQKYx7d/X4h1BwmoiG1opEEGf8GxK+gkfQV0lQqWUTxdBjlDqCXSUHEEDAG6cRcIMQQcwItaPjRZBoA+FM3vQDUEAAAAAAAAAAKIEb2D7wPVAjCDHfJOMDEFDLE5f4ngUQVTyaegedfFAXDWiZwDH9UBmLqr0sHshQQAAAAAAAAAAAAAAAAAAAAC30oa/znsaQYxfF2qkDh1Blmog8yzXCEF4klAg5noKQS0AFi4U0hRBIvBipf+UIkHUkyZtMzYbQdVan3EgYAtB+kdcZps1BUGF9r+IrSvzQCUKN6Zr5vBAPvG39RrOBUHzHi5XruUWQUCCgtAsjAlBItnQaGTdEUEMPIcr1NsYQewxNzxi6PZAR3kgCXDyGUEdGZXEftcXQb5H3C4JmhRBCNjtI7XI8UCqiAgUlbEbQTxC8iMBtQBBAAAAAAAAAAClGT97EXgNQdTjgegfHvJA0rlzfadCGUEGS/+qWFIBQYbYTJuGdxFBMv2IeLgnCkGjdVMN7N/wQON+vu1SDxVB3flsgnP3EUFGy1LRKcjxQJT2rOVrBBRBhd1gUMIADEFiO5ct26v1QBxGhxPJ0wBBR84QWWzZCEGvpw6yIxEJQbx8/7BzSApBaqRTzSYaCEHBxwu0+2sMQXA9jw4+t/lAJ+mHzJ6vDkHRegTZfUscQUolujUfHRJBoV9Pji+QIEF/6P18daYiQeROg4B6gwJBYhdKe71qBkEAAAAAAAAAAAk9b6hBlApBMNdoaQ3MDUFILBEuyK4VQd3vq3XzpRlBIX4+XmcS9ECy1+fzFs4HQVmIE881WfVATcrfP27vGUE0JKcKaqgWQaYFMlys3RNBeXlB9rBYF0GiNJg0f/cNQZRjyWYe4ghBAAAAAAAAAADnuHS+tkEWQbFJUMh5JhJBSE2c6FCfDEFbCEr09p/zQDijBpFCCRZBCcOmZpHwDEG71zzoXXYaQdxcDP26FQZBVa7z/IZ4/0BfT9eYpArxQC9CtsiFKB1Brj6iUmWa+kAkc6lPEfLwQEyUdl1xaPNAi9xfXKRuC0E+IrNGyMYYQT4hK9TC6gxBEnFWxhz0B0FqxVNjPpUAQeKLpwG+QQVBZBHzwk9rCUG+GQKAGwIWQcIo/HXQ/wZBAAAAAAAAAADe/E6/OIEEQe5U7XOBFAhBAAAAAAAAAADyOzi5k7AWQQAAAAAAAAAAdLBgaGhGGkEMQHi8DSL0QKdMZT7k2BxBAAAAAAAAAABublKnbeDxQB6QX997igJBAAAAAAAAAADGLSh0pGvyQPZzIwWRSQ1BhgClSJ9TAkHqxHbPH7D1QAAAAAAAAAAABKFE1hWWCkHvdhYywfoVQcHpZ7zNShhB1nIlV+U2AUFGayHCvUYDQaiU/g+y9/FACkywVP+LHkEAchuxlE4KQUpz0nVtIPZARkeQE0LW/UA2ikIkzAgRQbCka4Ux8AFBAVc37BQ4GUEy/sO5EosKQTTHbBcZrA1B8scZZMGrF0EAAAAAAAAAAAkbp2HWEhFB/jxAO7J1CUEAAAAAAAAAAEvHDk1wXwpBrapZd0gbEUGrpFn1dv0VQdIsas6ZghNBjHOqbXuj8UDu5Oc4WpkbQc0Ku05YmxlB6g8SGbAdCEG8t0uzMIsKQa3bHQiVAyJB7LgiMAekFEER4QT2M5UaQaIhM8bFNQtBCQ0gkJZ9CkHegcsp94zxQOH4bpKtrvJARFA+kJMFFkGWCXpk35gMQQAAAAAAAAAAkJYn/c7IDkGxKhAEitz+QOpJubC50BhBWxQwqEUqDkFKzGur/3wXQYDCWDKyPvBAX1DGNfU98UDsDFHbK3oVQZYqjW+cDgtB9Gs06RgYEEGQuRGsJPEIQQO54Xq12QlBgg774MqIC0GQaHMRrKoTQVxzHDBhQiJBIARlnZw3EUEzpp6jEkchQUCJq7muNBRBd0WDAWc/C0EW/dwzQ88AQU4Xhrzv5u9A8h5ne66HC0HeQsbLWMwNQWgiWp8HKR5BkuGdQFdJGEGQVafR06oWQeTyYGtxiwBBOi7ancuaF0F5Chyr9/PyQALRUiQS3hVBAofjVkqMC0GoQHEQO/4LQUYnJMgm1QNBAAAAAAAAAABqSdxZ58YZQRtpDWa4JyFBBv0lqGZCDkGroDXTumwNQbGzXxSK2RdB5554Q7H0F0E+S3a/ieUdQbhve9UF+fxADLCVxHL8BkEKu3quOEMWQa4EZjwo3AlBVty51YkBCUEibsD9s0UbQXOMnb/Oa/JAGp97oi5RCEEgoVQ7Xp0NQZHDrGc6TxxBzvAV+79Y8UAo//82vKQYQRxgt+KeuSNBXgrjH27mFEHcDKsuL/cUQcR7ITMDuSJBANirx0U6CUHmp9ZPvnDyQC4eHOmmxwVBAAAAAAAAAACkeLPyWgcLQcN8vN9ByBVB5Y3HxrfeDUGwdP6pHOMQQezWArpg0ApB3BQc2ozB70B3Pq+N4RUNQRhkz/6hJRJBNeEydg8f9UBXccPrDj4JQUr/vvYaWxVB2hLpk2kl9UDokbkP3eYIQTZZsJTGvfNAtvl2VTblCkGMeJs6k7EIQcBVLuRdSgpBAAAAAAAAAABA66ysU7ALQV0fAADeyvutaAAAAAIAAAACAAAABERhdGHoAwAA5wMAAIEZz4ZFiy5B8wPsUsG090C813NmC3YkQaAR2t0eZCNBnIf+NBLgMEH2NeJakUkjQWdcQHn5VzJBsxTpX567JEGhFYo0y5YtQYIKGLzpdB1BEDUdRf839kDWuqhniSQqQVyNwv8dTRBBxkaYeRYvFUH4VyzuWuktQRO1nXctHBRBCDEoN/BcJUHeL1Wfxy0nQdeNPXslkC9Bw0U6i02vJEHusofC5I0SQZJ+8KunaSFBqD0m+IgVGkEhxa+f8zwnQY7zUPZYRhpBqRB9gVC9L0H7CV3+QigXQSGbtVSb1SxBZYRavF/aLkFrtQtoWZskQaN20J2+DDFBelf0gGTEKUEa7y+ErKcjQaNzz0yyJiJBJMkPHykYK0EVZpr9YNkmQRjl+cMMvxlBPqiKbfBnJEF56JOtIb/6QDA5taiYsRhBfC2jns2JLkF10UPOrSUcQaRAPdRJ5DJBMLr9cKStM0GqeNj0tgcWQTQhucqRp/VA8dO3RAjNLUG0fP7XAnUnQVY1VXnFrSxBDqfhgA4SIkFE4syCt5gmQYuy1x6nETBBx9cGWMTiF0ENP+J2qM8rQatcqBISGxhBhbVBbOABJEFWOu7GzAAkQXkJh/FWIBJBww5XPqIhK0H9AcoYvyAQQfGRSyPi5CxBe3R537MsMkGTDVwRj6wYQUf+ZbqC7v5AAlbf8dFWG0FDwJc68eEwQbfHge2TTihBxH6d4QaWJ0GM/8gCepAsQbQ7jCMKkSBBSGldbExPIkGXqQ1UdtolQRzw4dSJWSNBy5x9aKc+FkEsDxdrs3T3QHTsrxhr0jJBET8w7uXK9kDBms5WuWsSQdd1JftMZRxBrBQYWhcFJUHwkV18Mz75QDao8WVx8SZBnvZTBdAhG0E6nYN8z4YfQW1uDnTjqxhBaHLcHQZ2LkF9SUS3SCInQc2zAZUbWC5BXnQG1BMqGkEK1IqXukokQU+w5jgPsBBBvhKxFTDgMkEaP77zIZEgQUIDaXXY6ylBoEakOfPeGUG+NxFlHykjQYa4enf88xRB/GU3VvjlJEGEiFgUO4kuQaqNWCRqtiJBLHTQtE65LkGm20e8cecuQezkdsriyBNBzKAkw9QeKkHo1vtWPTorQZohW1irmhtBFzdGGw2yDUFl0Fvvsl8zQaTtwqdMMSRBCxJw3bVIMEHWEr65OC4wQbPvRCgfRC5B1QB8cOC5GUEIZnrVcVwnQZBYkOFDTjFBSUWNXBTNMUG4fXJktwj2QNde38XO2jBBk+Pu2TeDFkE5ZkkOiA8tQRSNy8eOORRBRzW0nXTJDkHHXehGu0skQTMM8QrnPjBBoLSv+GwCG0FbK0tdzEkoQScMuLEYCTJB5hbOFxk9GUEqIj1EGY8cQWBoGMBmSjBBEL+8NyMOIkEAAAAAAAAAAIy7q0fXVhpB2mw/kvIx90Cquog2Jbw0QarBCjRnThNB5jkOPXJcMUE4+sLXx6AWQf2rC41IEClBG7mKZssiFkFrgeJJ1OYkQY+G4EgtaSNBY8gKDSAVH0E3YV2Gqr4hQbyquBXsjhlBDtKQfV28F0FrYDX1ta8ZQYjjjYWU7BtB8nQw+5+nHEG0xjahgCczQQS7kZlCsxVB6t7W2Uj0GkGKJnLmsQz3QHdZBLb1uxlBJwmd7pJDL0HQcqnQnegYQSB2gjuF5SFBEmzSisXoJUEm8Z4SG3MsQfxmWswOahdBufQTVa/OHkGKFOcK4GIjQU64UtKzXhhBUYEEMqgYJUHGEi9NvOckQe8kKPDG2hlBbGbku3N+F0ETW4sYXnQYQUplhN4QURZBUi8oayreJkEUIn5vuDswQRjq63IBVy1BEPM+a08vGkFr5RqCyyL2QNG7k3F+vi5BXNijQqMoHUGO+leRtTQZQYbxaral2RZBzsJoNwftIUHyDg0/bt8XQa22nsO7ehhBXw7oix+0I0HuWUYas8wSQVu81rjZqxtBM9OA3EXLIkFoXniA558oQbYSjyz3oSBBPsICf6ukHEET7sI0Sp0XQZZ142w+KyhB0MXRQrlZNEF5xpB/01IpQQFMqCw+/idBCPOFORUdKUFaCD2QmlEbQQCjvqhRYhVBOC65FK1lKkG2mxQ2fIMQQT7BaUweqTFBZdp0Hu+HKkEAAAAAAAAAABQbxKbtCiRBmFNldwwJK0EuQOoH+ikUQYMQrhykHzRBI4j30TIbJkHw8AhwOtMjQe7TXnv5ShhBr7JfWEY6LkEbxssMe90gQYnoEpToiTNBjii2Sc7NKkGFO3+TBsYgQb8YGumJjSFBM9eBL6wqI0EXwEQvHJwmQfuZj/2UFSVBuSk/iIKaJUECZe8uuSYeQXxtmhABxTRBFLm64zd8GUHqIQPor0ocQd+sJnW8AChBJ3yIvBCHIUGEe8sk1K4VQTc9+gc+ey5BngmPNEqoMkG2PuhGUNkmQR7M1VyBGiZB1TcvO4jJEkF0Jjhxr+stQexK6NIxLCJBNtNlaRLPJkFcUbSIydcWQR+F5Ok6aSNBsRh9WHefMkGO3TikkWUrQcWhu1xz0CRBudb/fInlMkGa54VaQx0uQdlNkvW63DJBpeOm7vCbFEHf2e3L3dURQdjYEq53/SRByZp9fJTQJUFfHcrWNlkkQVrL6rPiPhRBPvhltzX2L0HbKMycnIcmQTriugdz4i5BXsTQNdqIE0HbVX2uBo8uQQJoqoxvLiNBYgRKjVOUKEH0XrHxA1DzQDyKR/V1UCtB6uDvfITQGUHXIwbKu5EyQQrlgUqGSilBA+lEWjw2I0FGCkXjbPn2QEwxzxyiuzBByZjMLTPGNEG2CipgqO8SQa4NxGmM4CxB2TPGJBCOGkH8qzG5HR0hQbZfaUJks/lAeaoOqk5m+kA+57gRrEAlQXoQaZuOnSdB5FF05riO+UA+UtikiyUwQZJ1g+Nr2i5BbtxVGf5fI0FSNVn0VX4bQfpVtSgr2ytB/49jDd2XMUEPozryBHb1QADMl+KneiZBlXMG8YN+JkGB1OH3MfsiQagDWkNPhRdB/OhINONVKEEORMN5UgkxQUbZnRM+cChBeAZhsJTkFEFIc24xkKQmQTbLyHygmCVBS+PTHH7ZEkFCnJp+D2AvQYzJK331XyVBUVukXsR9JEFzqHq/U0oyQcgHkjdqWjNBLjAtBqyVIkG1hKdFFlEUQSbX0YuL0DBBV0RaUzQuHEEjC9+OlF8rQUx3ExjOvxdB5L62q6nALkEOJpTPRWYjQWpA+Hh4/RVBXf4Xtg5vKEHANxV5JU0mQfVRrD4aQxNBCV1lHFigLUHQO/qQGdUYQZJ0Y/ADGx1BgIdWoKffJUEWgMdg9YYWQebOhqR7tDFBAFTRfgxqKUGGfYO8s+oVQfh2yN5rZRdBKvOcg57jF0FQmgi/RgUSQbpPRZugKCVBVq8mtJzuMEETicS4Ra8iQbLHfBPBujNB4T8lfm0ZJ0FaPFyd3D8iQc5riD82iiVBknWp9f41GEGqPasUfwUTQZzNFba+7CRBcCqIVTO1JUHO6ntDABAmQaoC0iNbJjFB+Q8jcwVYJUEAAAAAAAAAAIhUmwcmgiJBYlkNKGQiJEGKkjy5Q2IkQVhpV7UDxCNB8KkwS5IYMUE2T1dDoA8YQQad8ZwI9CxBuGt1iaNMMEHRNvXtmVAiQczjFq0lZStBaOhnS8yREkHcKy/haGArQfhwTkigty1B+CTbSQYPK0GsBFGuoyQSQfzpgSmeJyxBLNabJwPxGUGirzJCgjcbQSFqEfRbCvVAgo9pqvZWHkEkHxX/KuorQRxjt6KqiClBiKBgflzgK0F+XpwkhyQYQQ1FSh6CryZBvcq8qRsTKEGWMoJWkwolQQEmmOXwNxlBe0tNzP71/UCRShvjCGQyQVjTkP7jlytBynHxOKgLMEEZDT4TSr8pQTA5BTKOvyJBp8fXEyYOJEE1WUXZYW4xQWW0VA+7fxpBY0mZAiwoNUGE/E+lUiwYQZT2inlyPidBM9s/STmsGEGGnWWvZ8oxQTDSuv34iCVBkFnBB1kDKEGGZNjQAFQlQUnKGS0x9xxBmnf4aTC1K0GmCHMdkQsiQUqQkG24+SRBmfO3uX65M0GnNjK4lQ4yQUFlWfqOERZBA1pqb8EkMUHiFhVqWWEuQdEZkbmUHyRBJgXi8KfFE0GNEaQwp2MtQe7cAEEnjCRBYgVmU0PTKEHy9Ohl6qoiQfb5O7431SZB5hRI3GtCK0G4b1jxawoYQfVwtJE2aTBB8RCe4odsLkEAsscKeNERQULlaMqrmv1AlPBbpFKqIEGvi3qN1g8zQTpBUud0YBlBtQELp7OdIEHOEF8mW2suQTnGAb6RyCdB/rNtOklhIUEQZQcqUaMaQSTN2B3iLSNB4Iwt6/ub80BIMQ4vv20qQbuaYp4uZyNBVxveXoUbGEHuXhOhduI0QdDLvds4IhlBlyhfJHOrJkFm7TMwWEIYQWwofJqzeiRBSg3GnNPJIUF5cyRFtowcQbgSi2umXB9BDheiNX4p9kBZ0Xju6c8wQe7bBnIumSRB6HlYtLuAHkHYZjvfk7omQV2FBA455S9B+GAX2NhdMEFGAUS244YpQTebB3dqKDJBLk7xF57vIkHpbow+O4UcQRKRaLZ9mSNBu8JcV4PIL0GBlda9y4UoQagPh+eQ8SNB3TPdlVyNMkEv1NKGo6gZQQbjtJrZ7hhB6iCs86pxHkGySS47ItAhQRSAjEUhnDFBk09KSN1MKkF6yWvVOgIrQfSQWhWRwxZBzmANjgXyNEEeFTD3DnQWQb0H2DNmezFBvfR3EJ15JEGKyR2tjZ8zQQAAAAAAAAAA1MVAE9b98kBfG9fk4IspQZ/PD6xW9PlASFEUSwtOLEH8/US+FkgbQdsdBVgoYyhBkp0xQdQWK0HstQKM9XcvQRpXThiv0CRB94BkO6lmE0GVx9QNf2obQVtjsB5QdSpBeCThLCoUL0HTNHxc+3gmQaVy1eQkGSZBtfUyMuoyL0GomrcVEacWQQAAAAAAAAAA5bNkaRQSIUEQrzXvTqovQcKNG7quUSJBdRcf8JGaMkGqoemJBx74QMANBox6XhlBAAAAAAAAAACbqpCcHWkrQe+/YA2tqBhBKGiB96KHMUHIz+b+GOcXQaJ3nN7eiyJBR7vYtK/XMEFhd4MqT1ErQUwy48xfYhdBGHqbuGmVKkF4oHi5MgEaQcShOI+4LhZBAN+PoWNDF0EKPhsw1S0vQdalpbIstC9BaC3tF/U+MkF5XyGczcQxQXem/nSYtfVAoDtCHtH/JUHy1W3/Cd0VQRm0aA618CpB2dF44MX2J0EuwYGPBcr5QPBzaRiCUBpBAAAAAAAAAACeCDsgFJUsQbDEX09i5jFBTnYqqlStJ0GE93qYIy8oQYtl0I5wUipBrCp2aFR8IkHo47rZWL0ZQdDTqKNUriFB9gpkNwgLJEE1bXPKVzErQVUOy8YI6iVBbqgWVNofI0FhNkPqShsxQTgrJ6V2sDBByJDPr1h0JEEFku7TrfIwQZPHxYdRxSxBYOM+9zDyJUET+12tPMMSQXsrKEkKzyxBpye29yQ1G0E4EeH+wloZQcPumMUcHDBBspIWDunSGEGIYNQ+s6UmQewcTe9c+iRBivxkUqIwIUE6wlK2P/kYQTcDdT09GTFBCjn7cNBdMkFZFSI19fgwQRQN+EHi6CtBr0xMX9sfEkFFwZhlHZ8nQQJZ/6co5TNBHh10cRHvJUHMGuf3888SQTj2izQu2iZBaWU3yoAtKEGpvV4RnFkbQcQu3NbMhiJBcA3RoEPXMEEGW7YKrXsVQWgLOlZHqPxAGEfdbmCMIkETbBahYqUmQZgKTs519yJBAAAAAAAAAAAgUe7IIaMRQX6s00EZhShBFb878wJhMEEdAtQugvkeQU60JzSbCyxB5IX1Oit9EkGET4fLTQ4xQc8Zb4b4RvZAtzCkS4m5FkF9k5sm5D8qQTRWTFpnLxJBkBQBac0tGUEGAORcO/gYQdr1uy8ndSFBX54AuqsbG0EMvN2LnlYmQcSnuYDhyCVBUjLPHGY/JEFYp9bPeEz4QPVkxiNkOSBBiGYFJ+a1KUFnv56VrMglQZxDTipoXixB5irB4K2hJEHQFXSSc9cSQS0CD/4/qC5ByAy+kLa39UAAbr9DxekpQWwwQQm2ixZBx8TJoDYYG0H7FF6ApkQiQY4iDXpEtiZBAAAAAAAAAABv+xXgqnAwQZ6ozy11eDNBWFWBOjKoJUEWg6pnDe8oQb1+WvDzlSpBSza5r68EMEH27KbDREEYQVSTFKDTyyZBkpRDShCYF0HaM3O/BxkoQTOzEkpsgC5BAWjXAS7DJkG44d7xhw0lQRWpZmJLcxJBzIfb1EV9MUHKlABb9yEWQbJSqkTW0C5BEihclDseGkGF9iZvnDsYQda7+fIGJyZBG8DE6zqsLEEVTSgioTEUQZA5JZyG2StBgNM8xeOYEEGMUWnLaEgzQeb5HKRybzFBzoPuvb2AJEHLfPWa+DAYQQpBlDBsVCVBnrwq/iI9LkHpd50TWhsxQb72gtMILiRBqv04FXvOE0FswcserkkkQfC0c0sVWxZBfWQWuXxrKEGjpX3ZEIIWQXjuSgANHhZBIqnNF3ceJUEw67RIPfczQbxeOE61MSxB5kA+b9ZkLUHncqPuINYlQb3KXPZI3PpA4itIpgeIGkFj0QSdc/QwQVffRqi0viRBzki/FVyGIUGgPqR7bOQyQZQuBP/X0TNBjg1/RCRML0HFdmlu+TElQWlbbzzc3CtBLm8x6L91HkHg1hirAwEbQa7JMkKv2jFBcrdZmQt2KEHMtV1vhscpQaktLdyI0BhBBv/E6uv1K0HzYUncvjknQaSTC9G6fSVBDrviTC44JEH4SELAxQUxQQpabduGBydBtnTFyZhvMUG0HvT3QEYbQYa5C4ThdxpBAAAAAAAAAAARERVgigYhQWELjiTKsSVBe8oqybuXNEEwY0BHv7opQYxY3je31yNB/CwSC4fZLUED6ArAWYoWQab94xRF1ypBM0oM1UcJMUEJEBdS2U8yQQAAAAAAAAAAPj6hua1UJEH8cOBnCbgmQe9ejJygJi5BYSxB8lVfMEFwGNB/l74kQZpLV+M+MiRBokvx7y6zJkH0k1TpqX0iQTNmogMWtzJBiNurud8sJEFvO9a1a0csQXOPxEQjERFBUiqrqmx1M0Gi8M1j++UsQRCFU28JEgtBA5WcR3bzLEGBzQ365/cWQTuzHZoZbhlBP/II36u5NUGKVvir3sonQZycQo23WiRBDKZGfDwRJUFmlwtmMyEwQWYI+pfBFSFB+shIVgLoL0GcOuvOQ3UZQUTf1C/mMixBsC5ERHK1MkHauQN1MosuQbpQGMEnrClBxvXR8f/pLUHm5eu2UEYmQZZHFDFBYvhAINRQN6uMGkGxMPy4c7M2QfxP/xiwMCRBgpBNUCNeFEEyrnZK2/cpQdZdtPA8VhNB0KJ3LaWuIEFcZ77F/BQtQbhdPoBOgBZBigdoc6UVGEG+5QRbWqAxQdI+05jl8yhBvbvt1uuFMUFZmZrWtDQyQR8yKpi1byVBnMxSCP+AF0HgX50qiWcyQVhijR2cdxlBi+FMH6+4J0EI8H7J/48bQV/dxLjDMzJBmkk+PjDrM0GyeVRZApk1QUKV3PrerBFBOymzw6FlF0GP5cjrQh8jQfUOMyNLPyhBFSioV4YvJUHunTiYR74jQeEG3H3FHBBBAAAAAAAAAADKyKZ6SZUsQZehQq3OETBBhlyOHYfWJUFfMKVCysUlQTkgdvfkhhJBdtuwUWbPMkFEZwYGsvspQZlyQ0h84S5B/QgjaSsyMkHIWFkk0jEZQcwRG1rcAhVBmLV/xl/kGUGeY1vDgyMqQTynKGNEmxpBClSrqL2yKkFmsIsatIgWQdIX9JnezjFBMzTWIpUDFkGrCXJEAj4wQVzvuAVxIiJB1CyReUssHUHXqySaHqYgQQAAAAAAAAAA5DCklZDHIUG6P2IF3CAYQfZVLAtkZSZB2668g4Q6MUG5ksfoZhEyQYR5gZGuxCZBABYlc5FAFEFZUakevz8VQQzKNW1TtiRBdEoZcYVUEUGiIU6Nx+AXQVd3lBVq6TBB5nAKs/ed+EAG+njyOzAhQTArfpDHSC9BWUQEgoRr+0B03vFeXuMwQZ+JK1Hdbh1B0os8h7YLM0FSZFt5gKgmQWbb50qtcjBB+aTRhwZIJ0Hh5NldL08WQUwteqGc7BpB3r1S2bzvJUFVGlWE+1QpQSB5NdVBEBpBFK8KLXErIkGESbFtHDcvQQUKsp4/SC9BxvV6j3t2JEEWluhuf2AtQeHCXQ0NSilBkoDNmip9JkEsCknnBckXQSUt+5GoNyZBAYlEs77DMkEGN0lklUkaQSB+ibJvGyZBd5gPdOYbI0Hzum6y2W8SQfp6ZUVzySlBWNl4/gZHJUE9JcVFjZkwQeCN5LvnNidBIIeZk1UuI0EIuF6kvcUZQRzuqV0sTCVB1cz4GrnVF0GsK/NtqZf5QG0nDbAQ3iZBTiBKojgxE0FHDR/1a6wlQTMr1MMEhiNBmzQLL/NgJUGzNf0SlRMnQQ/ifLPUhzBBWmB05Vrt+UC/uEB1swQlQdSY1fhCnTFBjWMdGtFrI0F98WTJ/QYrQag3BL3eVCxBxBV6bG2fMEGhGFnJwaj0QDZZK1iSzixBAPJ2ncUTGEGPZKpAXd8kQbo0+hBVRTBBhCUp1zOlMkGmUZqOZdozQXn+fY7dGCNBK1ttqXMYIkHNbEt5X7UlQQPNQG2u5iNBHXvYNa/SMUEFg8G6fyAcQWpb5INgfzBBL510h5JkJUENOF0T66knQb4LJov5gyhB4verNPoHFkFgiW0h6kwyQTIKGQHgAilBXDiB4YS5G0HYwMnDGlchQQcx8Ot+/xZBvleepJvGK0HjZLn7dQYoQYzhm3mFdiVBNwrXb9ql+UAdtNHi/bUjQQchco7X6DFBgMA1ApV1JkHaJw+GakYqQZg7uvOynyVBuGrrDU7JIEFOJW1ioegmQQy4tbWKVS9BjIZcqyuhM0GYUep9cPgRQdaNIGDt1/dAVsaNE+yZMkF6c6JV8e0xQS4Hg1L3qhBBvOwe4ksSFkEMhsDpxJYiQUSKK1zkrRdB9u1lT/YAG0G0v89BUZYnQcnA3WaEOi5BGXi82ei8JEEW0yaQxFIwQVk7T8pnDyRBtOsAQUVzEEH/g9HtNe0qQeUhep0PmCZBbnkQN7PfHUEfz9t6+HUvQchPdmvwmy5BJUrBYT2JI0HM46Qrf9wlQejCZsn2cyRBiw0yXSwsJkF6db494joiQeMUBOq2VjVBxkj83cWsK0Ew8RF007olQYqMii+0bfdAXIZfdYSRF0GafdEUwrckQRYFMhX+cjFBVDkbNQFFDUHgWUknTfcaQbJbCYfGripBpf49waFfFEHlfh1s0HoxQS+QIYNZgCxBqvFsqpUvGEF9SQdZD0oqQczAM2dFUjJBynIdDz1cMEG0yDc1tDIsQYVkJTQT7CVBRoMC/5enJkGY2y5FzasyQeMk7pMrdSVBAAAAAAAAAAD+W7P9xhUlQQVywwtE9SZB4n8z2TocJkGJYKnSm8UvQXmRB2GBciNBrJTURSu5MUFERpoO0K0oQfj+wcNDzjFBDAhhpfIDLkHshOpPGjQjQYXL62THRxZBbKcTbnOrJkERuAs6IvsmQZYeCPZKLiRBkIaRdbhKFUFW0ghxdvz4QJ57oi1gjyRBRQSF6ZNUKEGk29GE7JMYQXtF4byVCShBklMwOxPHF0HUdeQYIK4XQQzyicGubiNB2lfldTIND0F0gnVMNf0WQfKTDK5NuSZBS2TrPpYALkG1EIo8XyT4QAX9GwEjPvxA6BLkkkv/NEHOSMEBpMgnQSAET8zYrydBg5GZ24szNEGyRRHpN0sgQdUNz33tS/pAFz7PY0yEMkHSRfPV4nYYQXsH+wxOqh1BfSVdGMmVKEEfsubhIXEQQRMBH0aiuixB7y98JGqhJUHuishzZXwmQQjKRn45liNBHRAHrwG3JkGBsOCZvuEhQf8WZwfHkDBB0iwtGywyMUHlVUqr4Xk0QXM9yEuZ+ydBNQOxn8zfJ0FjZq67dMIvQV2nYoD91SBB8nCVYDekFkEG4Sq3orsjQchz/+JIJjNBJq64KN72IUELnPphbA80QX7/D1f8vStBeduWgBe/JkGL4DRw5IAyQTiah1Pu4idBqqKOQ4onFEGEF2X4lLAlQXkg+N/D5xdBc0ETQJzgFEE1shaEwbg1QQyH4GG2EhpB5htzFQ8/LEGC1sh6DncxQSDGXboFUSVBONb8g22JM0Gu1CGximUfQQCdXHw1By1BsLWyG8VeGUGESjGRCA0vQbVuT4t2KhxBJ1pFaNxdLEFrrIX0zA4sQbCoiaY5DihB9RQuA3xCM0HIwwoFNz0jQf5JTsrh4CRBUkBj0f6UGEHLbic24u4wQRTar9x8Ny9BJzOq2ApqHkGySE5sqlIvQe/vcJVR7vRAhiregDhqLEGni20OZ3skQRi3NTa3qhZBGQNHmYtzFkGJYNCAqGsrQRzfTnekGyZBHHzEkGLQM0FQhtWJ+wotQca7gbzLfhVBS+JsrAS2MkE6Aoqxa1kYQYPeCeyFGzFBeuKdvvW2EEFLboXKrrEQQTT5/yV9y/1AcB8AAN7K+61oAAAABQAAABIAAAAXTW9kZWwgKFJhbmRvbSBTYW1wbGluZynoAwAA5wMAAC+/+voCGvBAOQPWon1z7kCz0jzq0XbzQIopyGLTAfRAGtI3piAa8UCKRCNo0PfxQMTE89WTWO9AwMqp243X8kAtkc3mHpXwQGuojisKa/NAzjWnZoNH8EBuiVJbdgbzQNyigqYwd/JAAAAAAAAAAAC3xXqe7GnyQGNtoX0b+vJAfw3M9XEC8kA/RbOX5PrwQAAAAAAAAAAAsMV1roXP80AAAAAAAAAAAAAAAAAAAAAATHita8uN8UBIeu/dkMf1QKNOaU5zFfBALrSeuxGU9EDyf8VIi5XzQHmqIA9ov/NArKO4Rgl/8UBpORQDOOfwQAAAAAAAAAAAAAAAAAAAAABET+PNbVf0QAx9ux+CyPNATlIpFOHc9UCnCcw4RLL0QAG4/pq8P/BAJp4L91wb9UBohy9l4KLxQKPz0seA8vFA+IQ0dayU80B2u6U93Dz0QJqTSmqcT/NAQPk4dQcS90DqMRxh+cr1QO5CtZQqSOxAAAAAAAAAAAAAAAAAAAAAACqKNoPXXvVANt3Kx5Nu8EDiVwBVEqbwQP4kFu38vfJAq/LEE8U39kDlrXb0me3xQAoVKXOMYfJA6SkraaIi8EB4pOi8XYbwQLxrsX89hvRAAAAAAAAAAAAAAAAAAAAAACnkCEzKMfRA4ur9K+3m8UAAAAAAAAAAABYnDv1Yre5AcFTgH1b48kDN1MTz2sDzQK/qSsslLvJATFD/wLuY8kAAAAAAAAAAAIE+W6DVzPBAzG3uN1yT8UAAAAAAAAAAAKno650gW/NAnCtFcQn28UAAAAAAAAAAAAAAAAAAAAAAAAAAAAAAAADORQvAiMvzQAAAAAAAAAAACQWFKuIl80BKxanO++DzQAAAAAAAAAAAg1TMMqMD80AfTZ1ps9XxQH6wm422SfJAOhXQhYmv9UBPMBuQOHTvQAAAAAAAAAAALnRWj0yv8kAAAAAAAAAAAN6YdFQyhPJAAAAAAAAAAABxb0oqCO3wQAsp/d3jG/RAu7vib5dc7kAOHqJSsJT1QHQocEOBH/RAql6MlFtk9EDCCOfXW0b2QPNZlC8kivBATpOQmMC88kAXo3E11E/tQFDybWp44PNAuHMzUDcM9EAGdc6bvArtQMMDo7rdhPJAAAAAAAAAAAAAAAAAAAAAAO752Ns1rfJAAAAAAAAAAACWlun49kLxQAAAAAAAAAAA+FXhpErN9EAqWZxZq3vxQAAAAAAAAAAA7ycNnAnR8EDLGrV7AGn1QMJ+oS9HvPFAAAAAAAAAAABXmTdH81byQADNbiK/UvBAw9Aj4cDd8kAo1tG5Hen0QAAAAAAAAAAAXoVsrAnZ8EAAAAAAAAAAADePAbUCo/BAAAAAAAAAAACf8A5xAMTyQG/AFc0qXvNAAAAAAAAAAAAAAAAAAAAAAIR9jyG0lfJAAAAAAAAAAAAAAAAAAAAAADSkWHhHA/RAAAAAAAAAAABnYGekhJT1QDIBErNZ7O9Aeu5cOSPl7UAAAAAAAAAAAGvhsI0VE/VAYkgiP+Aj9EAAAAAAAAAAAN5daPwMZPZAQn6g5uUL70C8Djp5I57xQAAAAAAAAAAA8x1PCmtw9EAAAAAAAAAAAMKekHb4dPFA0m3Uy+ee8EC22DT9xtL0QAAAAAAAAAAAfaVMZY/l8EBjFrKGX8fxQFdpz4kv7PFASnYoAPq78UAAAAAAAAAAAKBhxInXxvFApocrLFQy9UAAAAAAAAAAAIDs+qrOCPFAAAAAAAAAAAAAAAAAAAAAAJ7MUok2L/BAeZxpRZJb9EBqVAho6rLyQAAAAAAAAAAApzWi8E3K8kCgXRE32ErsQNeP5Pzx1fFAAAAAAAAAAAAAAAAAAAAAAAAAAAAAAAAAAAAAAAAAAAAAAAAAAAAAAJryJ9ZhqfFAAAAAAAAAAAArt1htTTbuQCXgY+ELOvRAAAAAAAAAAACz5Pmhf671QPSo5YY1gfFAIH58DMss8kAAAAAAAAAAAAAAAAAAAAAAYYcrayOh8UCSuMIfGpD1QLqTQX248vBA4NXOnMPQ70CCf89YoDj2QK3Jy2POjfNA4B6J6DKj8ECac8WUc63wQIIDo907n/ZAAEuzkGI18kCOiYbShw7zQNCm8yfPC+9AFzZmZD/T8EAAAAAAAAAAANYz2sr9PfRAAAAAAAAAAAAAAAAAAAAAAEhuYO0yCu5AuOoPG5fn8EAISQxJMz/0QAAAAAAAAAAANud5emEM8kAAAAAAAAAAAKIOkfJz9PNAlaW7sjek8EAAAAAAAAAAAAAAAAAAAAAAssD3njvv7kD3oM0IigbxQAAAAAAAAAAAwYy+QQ8K70AkX6XtenvwQAAAAAAAAAAA5h0KNT2/80CSQKORRjPxQAAAAAAAAAAA49b6l1LP8UCuUcu219DyQAAAAAAAAAAAAAAAAAAAAAAAAAAAAAAAAOi677mITfBAqIaPGigl8UDIq5FMcbnyQJCvuNONx/JAAAAAAAAAAADQ4sUneTr3QAAAAAAAAAAAAAAAAAAAAADkD5qSDpPzQAAAAAAAAAAADS2PSTiK80AAAAAAAAAAADbOXHMPefNAJ2YMtPJi80DfQB3p9gDzQJPYgfIeDfRABM/1gbMm9EDDYTVHG9zzQAZQw3YPLfRAMYZwADUK8UAeYQlGvDvzQCc3b+R9Ye9A006RmkjJ9UCMKQ1GFK/0QKREuKb0avBAwUhRPrgF8UAAAAAAAAAAAAAAAAAAAAAAxYDpdxd68UBay+/EziTuQK406NjEEfdA2mrO4D2s9EAbMf2L7UruQAAAAAAAAAAAEgu8Bwni80AAAAAAAAAAAOEOIrwXFfRALPc8a5+p9kDXSZHmPFP1QLweG9CphfBAIkU9zxvC9EAd6IK6xgjyQA5gSEHVLPFAfzDwjAww8EAZLTVpvInzQG6p/h0B0/RAAAAAAAAAAAAAAAAAAAAAAAAAAAAAAAAAhU+6kt279UDfmQlcgg/xQOIiA8k9fvBAA6D59qUR9kAAAAAAAAAAAAAAAAAAAAAA/j1DodhM9UCXn5Epf8TyQB2+xkcMqfJAOWv2iHmo8EAAAAAAAAAAAIxqWq55gPFAm61lKXXP8EDH3U7frT/yQLtDrwDHo/BAAAAAAAAAAADmcjSbiEfzQEA9q38dFPRAVflFydKU80DyQYLL4/f2QAAAAAAAAAAAhjAZbB1R8UAAAAAAAAAAAAAAAAAAAAAAAAAAAAAAAABNl/k0/m7xQAAAAAAAAAAAAAAAAAAAAACeW5tKB2zzQJ7P9Zxh4vBAA0hw4P8N8kCWXPgR0Qr0QL0Q7EnvG/JAWJhXtfm88kAAAAAAAAAAAJQ5Axd5UvJAAAAAAAAAAAAAAAAAAAAAACC3THf1w/VAzC1tiaz59EDPYj+izBr0QJ74SJiDavNAJBfVI3+270CNGziU80vwQGdFb+iNXe5AAAAAAAAAAAAAAAAAAAAAACufxFo3w/BAzDqDRTMg8ECjxVPu/T31QIigD0vJEfVAbyegw2x88ECemvi8R3XwQB+dOW+XKfNASOKerz+970AAAAAAAAAAAAAAAAAAAAAAPFzL+aTS9EAgCbLnR3f0QAAAAAAAAAAAEOBtgmyy9kAg8FwrexzwQLZhIQdMJu5AEugSWvwr8UAAAAAAAAAAAAAAAAAAAAAAJwA4/as38UAAAAAAAAAAADA2czNZwfFAAAAAAAAAAAAOQGkOmlDtQANw4xt3pfRA5NCuaK598UCl2e4B8YPvQAHwODuX1fFAVJRpvMze8kAAAAAAAAAAAEmssd3BI/VAUllv5WPv8EAAAAAAAAAAAOD2gTRItvJAyBi/7jsu9ED+Wn9Y81fwQKLnsvvMrO1AhU9fYYyr8UD68u6cWzD0QAAAAAAAAAAAAAAAAAAAAAB5LQ4eU3bwQA9VhbpTo/NA5l5ko40e9UBCrFbPIR7zQAAAAAAAAAAAoH92tf/b9ECowXlaLJHvQHDdCo2oNO1AAAAAAAAAAAAAAAAAAAAAAFJhlJSA7vRAEVuxT04+8UAAAAAAAAAAANwcX5GlCfBAqPYb+8e08EBmrE/sTO/vQFjL9GOSku5AAAAAAAAAAAAAAAAAAAAAAID8PXl9OfdASKXQscw08EBFXmos7VryQB8XZgQ4x/JAAAAAAAAAAAAAAAAAAAAAANsln7zRRfBAzuO5rlB680AAAAAAAAAAAPhOpnn8SfRA304xwFkY8kA5xty+i17zQAAAAAAAAAAAAAAAAAAAAACM5eWoRPbzQDMSYmBIkPRAu/yQOv1V8UAAAAAAAAAAAAAAAAAAAAAAS6KhOWNw8UAaln1FS7X1QADiKC+mE/NAy84wIMUQ9ECva8ZP0V3wQBxBm5ZVe/JAP2jRpVpU7UD6WTosUn7uQAAAAAAAAAAAESD3iaFO8UBHeQHXa1fyQFwlhrAXqvNAG5tDrErJ8ECjjLHOTL3wQCj3XiZWhPFAAAAAAAAAAAB/EWXXumXzQAAAAAAAAAAAAAAAAAAAAAAAAAAAAAAAAAAAAAAAAAAAkd1ianHE80AWnR63sjHuQPgyPsBCjfBAAAAAAAAAAADe9j3SARfyQAAAAAAAAAAAAAAAAAAAAAAuoUlWVwj1QNIHjRWQgPJAAAAAAAAAAAC8+B9gyFjzQJc4EntldfNAAAAAAAAAAADRNu35lmH0QAAAAAAAAAAABb01NULO8kAAAAAAAAAAAHD7KSQLL/NAAAAAAAAAAAADDBCdHpLuQAAAAAAAAAAATuKfcSEl7kAAAAAAAAAAAAAAAAAAAAAAXqdqpQD57EAAAAAAAAAAANzEOJ+MOfZAFS8g+a6q9EDOqeQaJN7yQJ/JEP4ar/BA/TphCQUp8EAAAAAAAAAAAAAAAAAAAAAAAAAAAAAAAADTnxxD7zbwQP4wCLLa/PNAAAAAAAAAAACmX0ctEQzyQHjnSl2BrPJAAAAAAAAAAADnzlR/Mx7yQLYX3MfShPFAAAAAAAAAAAAAAAAAAAAAADXNSnBKqe9AYjkaUK4u9UAJO/VdfgDxQDdpJWTUY/BANE7KYIor7kAy4flPV87wQAAAAAAAAAAAA7iq3mik8EAAAAAAAAAAAHjspRA6g/VAxSfLEmmR8kAAAAAAAAAAAPSNUkDDUvFAXLBCsW348EAAAAAAAAAAAAAAAAAAAAAAAAAAAAAAAACT7n35YcTsQKp1ptV3LPNArTYq5lJX80AViUY0NEvzQAAAAAAAAAAAAAAAAAAAAACqZ7XGNbDuQAAAAAAAAAAABMQ3qV058kDlbWsQro7wQAAAAAAAAAAAyP4fR5OP8kAAAAAAAAAAAAAAAAAAAAAAoAjIdzXG8EBWkn+jwDDyQH5VAfPeSe5AAAAAAAAAAABO0XCRJLruQFD8n6R1VfFABZVsoRAV9UB7zyIFz+fyQGDL/qlVTfRAni8a6Gtk80AAAAAAAAAAADzRJAyMNPRAAAAAAAAAAABWITRtxOTwQIG9wgtZTPFAFCzUwzht8kD8cGjJi2zwQPHSTkV5qfBAAAAAAAAAAAAAAAAAAAAAAAAAAAAAAAAA9cWdgXR870BOjbzwrxnxQHFscPb0cPFA1RXMfAfH8kAAAAAAAAAAACtRLuxJKfNACqv22Vhe80DGbpncNtrzQPb4kh3abe9ARaXAHGCC8EDZL9M61HLwQL9yanxlI/NAZbel0ZyG8kAAAAAAAAAAAG5J1aFE8vFAr7wy5b7w7ECWPZaV1O72QAAAAAAAAAAAAAAAAAAAAAC8X3wuLKbwQAAAAAAAAAAAgTzRgBWX80AmL4sSIenwQPYOK/RcufNAAAAAAAAAAAAJNnsxM4HxQBUlrzzNu/NAh+kQ3jdI8UADq5MXM+/wQP93xIpHy/RAAAAAAAAAAAAAAAAAAAAAAC0CobZgF/BAso2dhB/A80AbLumdy4fxQAAAAAAAAAAAnpfyyXYl8UAWWltYUvvyQBrSFiX1gO9AAAAAAAAAAADAjRWCLrzyQBZnQrjRavFAXI6xDMUM8kAAAAAAAAAAAAAAAAAAAAAAIbxRnUau8UAAAAAAAAAAANShM+7iZPFAAAAAAAAAAAAAAAAAAAAAAG5I0zRG4vRAlrgikbck9EAa2B8/z8jvQNz0LsYcGPJAAAAAAAAAAAA5K5Vw01v1QAAAAAAAAAAAAAAAAAAAAABh2F1aIkj0QCxfgCM0K/VAfliyZK/v7kDWdC8STin1QAwnDqynA/JA486N4t8d8UAAAAAAAAAAAAAAAAAAAAAAAAAAAAAAAABPM9ajGuPyQAAAAAAAAAAAAAAAAAAAAAAMTvYCflb2QBQVthlMAvNA+xlin7by8kAAAAAAAAAAAAXrlY/f6fBAqgrSnnyQ70DKhtbYHw3wQJUhRjsGwfBAOox4D4pS8UD6f1fuS0/2QJC3nHwDSvBAxuyvJ6rU80CpHZw1/lbzQBqkSZYP/vFAPW9CB1Rb8UD6UHk1X6TwQFm6om9WUfBA5xBgT1Z/80C1lcKehJHvQOzazgrYOO1AuyBCYW1V80AAAAAAAAAAAAAAAAAAAAAAAAAAAAAAAAAAAAAAAAAAAAAAAAAAAAAAVJWI4Vhd70AAAAAAAAAAAESNLH/yBO1AmsqUwmOE80AE2MtWI9/xQKd8G8aH2vJABiZB5VNf9ECCk0hKCpb0QAAAAAAAAAAAi8OYcQta8EAQDXtknDjxQDhxTnCogfRATV3dRiCN8EAAAAAAAAAAAGPivotAaPJA4LwsVuMq9UAAAAAAAAAAAAAAAAAAAAAAAAAAAAAAAAAAAAAAAAAAACt0aP68Oe9AAAAAAAAAAABM2Y/ebHruQB1k52qNtvRAAAAAAAAAAAAAAAAAAAAAAIpzfwQDI/RAAAAAAAAAAAAto92h/pbyQBjO2SF5cfFAAAAAAAAAAAAak7beTCLvQCDwM6VM+fNA3UxQM4QM8UAAAAAAAAAAAAAAAAAAAAAArUa6HTHR9EBuZyozNMXxQDphBiLpKPFAjjAjUCdp8UAVDKf0eQ31QNO03/4i0fRA9FXTB0vt8UBSF9Q/q1vwQCzS66KGu/RA/2V2ber29kBdoXMKlVvwQNPfhivPufFABHQFi+Ih8EBM0H+gxEH1QAAAAAAAAAAAljxDDpbk8kAGU5cKCO3yQMeD/MoC6/BAe9tlWzeO7UAAAAAAAAAAAL50CGQaPPNAxrrE8ZEo9kAAAAAAAAAAAK5ZQEKVZ/NAFXyG/tZw8kAAAAAAAAAAAAAAAAAAAAAAp/01rKbQ8ECnap6YwFTvQAAAAAAAAAAAyd4fISwv8UAAAAAAAAAAAAAAAAAAAAAAFrcQLdNR8kABSnU6ojn0QP2atDhqqPBAJsvJ9b8y8EAAAAAAAAAAAAAAAAAAAAAAcBnKpdp38kCg/9gTQm3uQAAAAAAAAAAAAAAAAAAAAAAAAAAAAAAAAILLBDlf5vNAr6usaS9L80AAAAAAAAAAAAAAAAAAAAAAnaoFU7Q080AndjNqeOjzQAAAAAAAAAAAAAAAAAAAAABs9b+0oJrvQN7FdPNwEPRAYG4n/Sg58kAAAAAAAAAAAP6lIcd5F/VAUXTk4V5p7UCMf/FFU4/yQBiBjOhXMvdA7M8+D6z18EAAAAAAAAAAAFaoo+UA1/FAAAAAAAAAAAAAAAAAAAAAAKSx2gZgUPJAAAAAAAAAAAAAAAAAAAAAAI8Pe0wmI+9AAAAAAAAAAAAAAAAAAAAAAAAAAAAAAAAAO/sYvZZY8kAAAAAAAAAAAKxRr3DRH/JAmCR5v47i8EBe72NA8aDwQL5lWOZUrPBAvQc+gNRA9UAAAAAAAAAAAAAAAAAAAAAAAAAAAAAAAACwo5acLpfvQH3UtKFkdvJAMR/3qihx8kCGMgsUOLTwQJaZ9jpqHfRAgJBt9Hyw8kD/wCjB4yD0QJnGQwoCrvBAPJg1+aTj7UCZGeV5+snzQAAAAAAAAAAAynuFokHj8EDWpWS4pMj0QAAAAAAAAAAAc9HYCd6D8EB0jLEhnfDzQAAAAAAAAAAAuP2tsgAZ9EA3hj6mGXDyQKiZ1kX6ZPJAAAAAAAAAAAASdufvvgDvQCQs4ZLlMfJAXZV4KFB79UA/6Pfb+NX0QEevVTWlzPFAAAAAAAAAAAAWAXU1oADzQJZ9MZETqvVAdS+X9JrE80Aowr9BJw3yQAAAAAAAAAAAogRvYPvA9UAROXVuSjDwQDUamnoqDfFAVPJp6B518UBcNaJnAMf1QCKLhqWQefFAAAAAAAAAAAAAAAAAAAAAAEsam/fyFfRA8P3xUMbX8kC2BrhwDQfzQJ29vVseNPNAMJltXtoE8kAAAAAAAAAAAAAAAAAAAAAAgD0l5ykk8kAAAAAAAAAAAIX2v4itK/NAJQo3pmvm8EAAAAAAAAAAACW0y7ai6/RAiDqcsLaE8UCuO7fbtWH1QAAAAAAAAAAA7DE3PGLo9kD8W7J8bbP0QNwabd6fVvFAYh5qynLJ9kAI2O0jtcjxQP/nsovDD/NAAAAAAAAAAAAAAAAAAAAAALxzdavb4uxA1OOB6B8e8kDOdt2hiBL1QAAAAAAAAAAAAAAAAAAAAAArz6ZcNyTzQKN1Uw3s3/BAW7s+gJ+07EA3ePa3TAHzQEbLUtEpyPFA7sPv2f8g8kAAAAAAAAAAAGI7ly3bq/VAAAAAAAAAAAAAAAAAAAAAAKYdp1Bvq/BATMVLRyD380CfXDXrFx3wQF5A9LSLfPZAAAAAAAAAAAD0YuIb8wP2QK/E2RWlpvBAAGnII5Hk8EBe3LlDI3HzQH4v7J2aI/RAAAAAAAAAAAAAAAAAAAAAAAAAAAAAAAAAGmdZzUsC8EAQhldvNqXzQOr3CVrXqfFAmVniFeTj7EAhfj5eZxL0QAAAAAAAAAAAWYgTzzVZ9UDEfpTZSbLwQKJgvBywMvRAAAAAAAAAAAAAAAAAAAAAAAM3XExje/BAAyxdEEsW80AAAAAAAAAAAAAAAAAAAAAAAAAAAAAAAAD2c/vNaNXwQFsISvT2n/NA7sqV7wS98EBKtF7NKg31QDK5JEYS7u5AAAAAAAAAAAAAAAAAAAAAAF9P15ikCvFAAAAAAAAAAAAAAAAAAAAAACRzqU8R8vBATJR2XXFo80DWKye+ZaDzQKjZQrLu/fVAkJbjgdi39ECvy+xkoW7xQAAAAAAAAAAA5AlS/sZF8ED9Y8KeWD/yQMW1eMefjfBAAAAAAAAAAAAAAAAAAAAAAAAAAAAAAAAA97z8FL9H80AAAAAAAAAAAKERVJ0Z2+1AAAAAAAAAAAAAAAAAAAAAAAxAeLwNIvRAzY5NJWlq9EAAAAAAAAAAAG5uUqdt4PFAAAAAAAAAAAAAAAAAAAAAAMYtKHSka/JAw2w5vonF70AAAAAAAAAAAOrEds8fsPVAAAAAAAAAAAAAAAAAAAAAAIXBnIaWtfRAOFPwk8y78UAAAAAAAAAAAAAAAAAAAAAAqJT+D7L38UBhs4qzjwvyQGz/DYyiyfNASnPSdW0g9kAAAAAAAAAAAJ3zxyBXv/FAAAAAAAAAAAA4WigflrrzQCFYE96n6vJAZpnQK1k980Cih0jJ+c/1QAAAAAAAAAAA2IJP5rgq9UCrox5czdzwQAAAAAAAAAAAQJsk2Qsg8kAAAAAAAAAAACU7b5ZKw+9AAAAAAAAAAACMc6pte6PxQJReO9p8zu1AaKzeQE7c8EAAAAAAAAAAAAAAAAAAAAAAxkpRT/6J9kAAAAAAAAAAAFzyTHPgsfFA+qBKfuK/8ECit7CVTrfwQN6Byyn3jPFA4fhukq2u8kAOjTY+8hbwQBeoaBLt9O9AAAAAAAAAAACwqCaR81b0QAAAAAAAAAAAQBxocWEB8kD2KKXiDYjyQPnmEaQTX/JAgMJYMrI+8EBfUMY19T3xQO5ynSnuOvFAB9329Sk37kBCs7J4fdzxQNRMe4aefPJAAAAAAAAAAABnxF4iwzTyQAAAAAAAAAAAk4tqXCmk8UCJfctIg0b0QAAAAAAAAAAAAAAAAAAAAACKtHMm6cf1QAAAAAAAAAAATheGvO/m70A+ZFIwL/31QDKt6pF9qPJA+G9pUIsS90B56oOsVXryQNbtE8SM0vRAAAAAAAAAAAAAAAAAAAAAAHkKHKv38/JAOKqrL1eX8kA+24FbV17sQDP75bNoPvNAAAAAAAAAAAAAAAAAAAAAAF6UUvEizPFAIxt1Mn1G9EAAAAAAAAAAAELeOHpbi/BABWZb4bbG8UAAAAAAAAAAABqIwoqa3PJAAAAAAAAAAACvh28AjwXzQBdZQGi0mfBAtvnEk7eO8kDtpgGGvtTyQA9xOxf5yfJAc4ydv85r8kBO+cscFDjwQMJKEJcFEe9ANzWs7faG8kDO8BX7v1jxQJZsHdOoOvdAYs53/Q9I70AAAAAAAAAAAAAAAAAAAAAAkqNQZWKC8kBm1YYBvNT1QOan1k++cPJAAAAAAAAAAAAAAAAAAAAAAAbWqRMGLPRAvf1TGSYC80Cg2W1Dy5HzQAxUrApH3fVAPfR4kmmR8EDcFBzajMHvQC6FC0EmePBAAAAAAAAAAAA14TJ2Dx/1QCpchpuI0/JAVmEJ8EwX9EDaEumTaSX1QGLaI8jN8+1ANlmwlMa980BRuzBhFi30QAAAAAAAAAAAzqTXta3K80AAAAAAAAAAAEAkFTdwYPFAcB8AAN7K+61oAAAABAAAAAgAAAAXTW9kZWwgKFJhbmRvbSBTYW1wbGluZynoAwAA5wMAAAAAAAAAAAAAAAAAAAAAAACFbKHjz3IRQYVqJd5p5AxBDf5QAl9jEEF8J7yh3QURQWkg/T6lRRVBAAAAAAAAAAAAAAAAAAAAAAAAAAAAAAAAAAAAAAAAAAAAAAAAAAAAAAAAAAAAAAAAAAAAAAAAAAC0VWvYkZMRQQAAAAAAAAAAAAAAAAAAAAAAAAAAAAAAALy3HdTVoxNB7KLAzo+9EkEAAAAAAAAAAG2qZFAqDxFBAAAAAAAAAADiQknixa0VQWgBa0FJbhNBAAAAAAAAAAAAAAAAAAAAAAqKleZ7HxZB7M+WuESlDUG/sYuHN7QUQThKAd7YMBRBAAAAAAAAAACZ5xmOaFgVQQAAAAAAAAAAlpNkueB9EkFlqkRouQESQQAAAAAAAAAAAAAAAAAAAAAAAAAAAAAAAAAAAAAAAAAAmhCzAJJ0EEEAAAAAAAAAAP9V5HRQwRNBcaOo/ZA5E0EAAAAAAAAAAAAAAAAAAAAA+hStBRA6EkE1a1LSa5kQQQAAAAAAAAAAUVfBkzA5EEEAAAAAAAAAAIwXlsFWhhVBAAAAAAAAAAAAAAAAAAAAAAAAAAAAAAAAiGrTV5/4E0HmmXqVK80SQXkJh/FWIBJBelYJYdWjEUH9AcoYvyAQQVazN+ER2BNBRpoCAbZuF0EAAAAAAAAAAAAAAAAAAAAAAAAAAAAAAADQxHu2OVUWQQAAAAAAAAAApK5mxbBJEUHknqS796gQQQAAAAAAAAAAAAAAAAAAAAAAAAAAAAAAAD8EO5pOQRBBUUwOldy9D0EAAAAAAAAAAPz0peIi7BNBAAAAAAAAAADBms5WuWsSQQAAAAAAAAAACNgf4ESeEEEAAAAAAAAAAIqXKzZh6hJBePuMOTGuE0GVmw+cMGIOQUTM+E3YrxJBIIjVABtPEkEAAAAAAAAAADh6Eejp5BRBAAAAAAAAAABRO5a+G7QSQU+w5jgPsBBBz2qrgFy3EUHhssRuZVgRQQAAAAAAAAAAAAAAAAAAAACcL032Gz4TQQAAAAAAAAAAOpRTUdFwEkEAAAAAAAAAAAAAAAAAAAAAAAAAAAAAAAAAAAAAAAAAAAAAAAAAAAAAAAAAAAAAAAAAAAAAAAAAAAAAAAAAAAAAFzdGGw2yDUFxzlWZg+4QQQAAAAAAAAAAEwfe/YJeEUH1haRK6LkJQQAAAAAAAAAAAAAAAAAAAAAAAAAAAAAAAJomwYSwSxBBsnKMizYQFUEAAAAAAAAAAGvdUxvR3xFBAAAAAAAAAABtw4FSUGoMQQAAAAAAAAAAAAAAAAAAAACh60WLdr4RQeCSehOHcRJBAAAAAAAAAAAAAAAAAAAAANQvJvSbYA9BAAAAAAAAAADa7wdr85IWQb6pjTJHJhJBe895FG0jDkEAAAAAAAAAAIIYOhOoCxNBAAAAAAAAAAA/i4HthrkUQarBCjRnThNBzDIC6wkwEEEAAAAAAAAAAGyb//CG/BBBAAAAAAAAAAAAAAAAAAAAAAAAAAAAAAAAa1qqqBRID0EAAAAAAAAAAAAAAAAAAAAAAAAAAAAAAAAAAAAAAAAAAGG4OXRx6hRBAAAAAAAAAAD5liUob44SQSTfpMqkDw9BAAAAAAAAAAAAAAAAAAAAAAAAAAAAAAAAoo6J9sZ3FEEAAAAAAAAAAAAAAAAAAAAAHEP52uceEkH4hbDkh/IQQQAAAAAAAAAAVEwRs4DnDUHeLvJbpZIVQQAAAAAAAAAASfBrlaHIDUEV9yI7mAEPQQAAAAAAAAAAsexqvlWcEkGUOLCyoDwSQWR+StNjUhBB7mDCB2I+F0FNZ8QJTH8TQRDIBiCtQxNBAAAAAAAAAAAAAAAAAAAAAGwBLKlz5xJBAAAAAAAAAAAAAAAAAAAAAAAAAAAAAAAAfimrvvVNEUEAAAAAAAAAAB67KW4PLBNBGkssfnaAE0HuWUYas8wSQQAAAAAAAAAAAAAAAAAAAAAAAAAAAAAAABuHqU2rFw9BAAAAAAAAAACyAERpaLMQQQAAAAAAAAAAguI6iuAlFkE7tvAa94kTQVRaIkoAlBRBAAAAAAAAAAB25nvDGssVQQAAAAAAAAAAvhzstU7yDEG2mxQ2fIMQQZTfIJdcQBBBAAAAAAAAAAAAAAAAAAAAAF5H6Farrw5BAAAAAAAAAAAAAAAAAAAAAElw9jykWBBBAAAAAAAAAADURivMl4kVQQAAAAAAAAAAUFUWETGoE0FvJOwivSgQQUuREPnJNxNBAAAAAAAAAAAAAAAAAAAAAJbW3CUyDA9BAAAAAAAAAAAAAAAAAAAAAPpxyPkSyBFBhOTX4R+UFUEAAAAAAAAAAPJ0p0zmShJBAAAAAAAAAAAAAAAAAAAAALSASch4SxVBoF5LRp7XCkEAAAAAAAAAAAAAAAAAAAAAvzQLpJYkEUEcVaka4IUTQdH9Dh7ntxJBAAAAAAAAAAAAAAAAAAAAAJb2FX04lRNBwlojAWZBEUEAAAAAAAAAAGvdW7ng2hBB+mX+hio/FkHWiS5rKEcVQR3flrZgpRJBeLpwQU++E0EAAAAAAAAAADImyAb8HBFBIryXSPUkDkHf2e3L3dURQb0sHi1OEBRBAAAAAAAAAACtoUOZ/9QPQTawJygFOAtBVPdBSkqFFkHiwtTRcvQQQaJuGpGzfBZBAAAAAAAAAAAAAAAAAAAAAAAAAAAAAAAAQbgsCkX6FUEAAAAAAAAAABKctdfJ0BJBAAAAAAAAAACtk7/l11cPQaQ981l3wRJBAAAAAAAAAAAAAAAAAAAAACBw+ZaBBBJB8io32r0+FUEAAAAAAAAAAAAAAAAAAAAAWqB4/A7TEkEYwpqXMbgPQQAAAAAAAAAAAAAAAAAAAAAAAAAAAAAAAJ44zHVUyRNBAAAAAAAAAAAAAAAAAAAAAAAAAAAAAAAA1/JpuHNaEUEAAAAAAAAAAF5VH1i2BhZBV5kGzj4AFkEAAAAAAAAAAFUxaHip9hNBAAAAAAAAAADUZ85OfLMOQQAAAAAAAAAArmcHR6zuEkGqOs/sMkwSQXXG9ArhsxZBV2UxpX04DkEKELdC2UMUQRKVgLdi8RBBS+PTHH7ZEkEAAAAAAAAAAOqUzzkeoxBByCOvP0DcFEFXpM9v0WwWQb6rAmjo8BNB4u6x+wybFEEAAAAAAAAAAHb6ryVEBxNBAAAAAAAAAACaQXRnc1UUQUx3ExjOvxdBAAAAAAAAAADZ70TK2nIOQQAAAAAAAAAAAAAAAAAAAABtyLrw5eAQQQAAAAAAAAAADgAsMZIBEUE2iqlrFOQRQQAAAAAAAAAAAAAAAAAAAAAAAAAAAAAAABgA3HB3VBBBp4YV5enbDUEAAAAAAAAAAFxRN3iSThBBAAAAAAAAAAAAAAAAAAAAAOebWRQnUhJB3cbU1Tj5EUE4vVKE7cQOQRFuHFj2fBRBqvOKDS2iFEFOm8ZjYlYQQe5ukn149RFBAAAAAAAAAAAAAAAAAAAAAD7LQpJ+dRRBAAAAAAAAAAAAAAAAAAAAAAAAAAAAAAAAT4+JFS9XEkEAAAAAAAAAAIshhMVANhJB6EEZDyF4DEHDSr3MHL8QQY7mzJ/JFRBB3gicJFGcEEEAAAAAAAAAAEz6wb4VQBJB3P78vpS1FUE0ep6JaQMWQVDqMQVvRRJBaOhnS8yREkEAAAAAAAAAAHjkf2YF0hFBAAAAAAAAAACsBFGuoyQSQQAAAAAAAAAAAAAAAAAAAABYGZUA0cITQQAAAAAAAAAAAAAAAAAAAAD6U/YQdr4UQQAAAAAAAAAAAAAAAAAAAAAkEOYNdbsSQWmH6blIPhVBDmpPyg6fEUGeiYQEWl4TQQAAAAAAAAAAAAAAAAAAAABM7no1BegMQQAAAAAAAAAABxOFniRPD0EAAAAAAAAAABxkk7KnwBFBJuIKHO7TEUEAUu+keYgRQQAAAAAAAAAAEBFzgbTCDUEAAAAAAAAAALRS5MGxBhVBAAAAAAAAAAAQLU87hW0SQab5LSoIgBJBLudjIl7bE0EAAAAAAAAAAAAAAAAAAAAADNhfnlY4EkF53G65lbQRQbziHgMGXxRBY+o5ED4RFUFEBJAx1EUSQQAAAAAAAAAADHhA1RomEEHHmAFHlTcRQd/TcI6QRxJBS3f/msMcDEEAAAAAAAAAAFmguwYfnhRBAAAAAAAAAABT5i7fbPgKQZD9+lqLmhFBv5R03TbBFEEAAAAAAAAAAAYtONvxGxRBNEOT8MN3EkEAAAAAAAAAAAAAAAAAAAAAAAAAAAAAAAC6KiFfUnUWQQAAAAAAAAAAssKRBS/oEEEQd9MUsEgQQfj3xzLiUBJBhn5kMANPDkEAAAAAAAAAAFivuiZY5xFBAAAAAAAAAAAAAAAAAAAAAFJLRWhlIw9BAAAAAAAAAADhpuP7ufUPQQAAAAAAAAAAMNWDArczFUFtamtaKA0SQdwQUwdCMxNBAAAAAAAAAACOMGw091UOQTluWxSh/A1BAAAAAAAAAACU6apFpq4QQWbasXkDURNBXl/SERRsD0EG+Uur6mcQQTAINwB7aw5BImw8NfKYEkEAAAAAAAAAANXgRLIWFhRBPnrOgnetEEEAAAAAAAAAAJA5IhsM3BJBfq+sQNz/EkEAAAAAAAAAAAAAAAAAAAAAAKpkNkX1EUEAAAAAAAAAAAAAAAAAAAAAAAAAAAAAAABIEd591qcOQfkCKX0LFBNB7pELB7nwFkFWDpJjb8QRQQAAAAAAAAAAvhOhhqrDEkEAAAAAAAAAAALlVekO2QxBeCHKDRwrEkGfBByQKZsPQQAAAAAAAAAAAAAAAAAAAAAAAAAAAAAAAAAAAAAAAAAAx7mRvXcYEUG0vnZCCKoVQQAAAAAAAAAAzFEkZDajFEHeo6BF6/gQQQq0zi0pJRNBAAAAAAAAAAAAAAAAAAAAAAAAAAAAAAAA1AGOZLHLEEF2/uGAVvgUQQAAAAAAAAAAJpJlMetwE0EAAAAAAAAAAAAAAAAAAAAAAAAAAAAAAADq9QnRdGIRQQLOOAOsDRBBdbm1n48NE0EAAAAAAAAAAF857UnJrRJBAAAAAAAAAAAAAAAAAAAAABYCmu6n3BJB7Ir/SGjoFUFYxlp/+q4RQbBwcpUfChVBJpptxsSXEEH+8Zkn3tUQQQAAAAAAAAAAAAAAAAAAAAAAAAAAAAAAAAAAAAAAAAAAAAAAAAAAAAAAAAAAAAAAAAAAAAAAAAAAsfb1sT+oEUGVAjNagaYPQQAAAAAAAAAAOA4K4sY4EUEAAAAAAAAAAAAAAAAAAAAAikK45grvFEEAAAAAAAAAAAAAAAAAAAAAAAAAAAAAAAAAf1asd3EUQXRtsJOhzBFBQDNhT8KEEkEAAAAAAAAAAMVbLE/xQg9BfGVi8e4vDUEAAAAAAAAAALHBqvxo4hJBihovT0Y3D0EyVYBhX50RQQAAAAAAAAAAR8Gw34D8EUF8Odhb1YsSQbu5tfqDPA1BAAAAAAAAAABXGqLkM0cNQZC7phIYpBZBd/TzGbgGEEEAAAAAAAAAAMbZb6DzRxNBAAAAAAAAAAAAAAAAAAAAAESAbA+RUhNBAAAAAAAAAAAAAAAAAAAAAAAAAAAAAAAA2RKsQtxzCkEAAAAAAAAAANDYXeUVfxVB4tVYDO30EkGuBIt5EosSQeTsD4m7pBVBAAAAAAAAAAAoz4IJrdIUQUB2fw3fzRRBLxfTnD++FEEAAAAAAAAAAFvTHJ2FehRBAAAAAAAAAAAAAAAAAAAAAFWZCslwogtBqHqoW4W7E0EAAAAAAAAAAAAAAAAAAAAAMBtIw/NnC0GI+LIHTg8NQXyGyk238g1BAAAAAAAAAAAAAAAAAAAAAAAAAAAAAAAANzsTFWfhFEEAAAAAAAAAAAAAAAAAAAAAAAAAAAAAAADd8mgDfRUSQQAAAAAAAAAANq91yQv5EEFzVJG0Vu8JQQAAAAAAAAAAxWs1BFrwEkEoEkibIbMSQdYr0RDZaxNBChYo3VJcCkEstM0Z+4kQQVwyAvQeFRNBKbFnPP9ZE0EAAAAAAAAAAAAAAAAAAAAAAAAAAAAAAAA5206d3t0RQXj3lSv2kBFBj/WW09u9DUEAAAAAAAAAAEzT50DHVwxBAAAAAAAAAAD9EH3RvdcQQQAAAAAAAAAAAAAAAAAAAADPO3RadmgRQZPRHr9AkhFBAAAAAAAAAACFN6n2U7ETQY4Pu9dSfBFBiZTZ+kXiDkEAAAAAAAAAAAAAAAAAAAAAWhxBotVcD0FKXK7av2ISQWoFXjGnyBNBmYLJtwTZEUELft8NzGMTQQAAAAAAAAAAAAAAAAAAAACD16USFXYVQQAAAAAAAAAANIdX74v+FEGjPKwMDyEPQQ+cGv8sMxRBb3mOAkkqFUEAAAAAAAAAAIL+DCI7KxVBOpvHHUjwD0E7OKOJfisKQQAAAAAAAAAAAAAAAAAAAADQzHX1JlAUQe6ZhFsGaxRBAAAAAAAAAAAMWDDPzPESQYkuKAIqvRVBcM8fgU8AEUHMD5HdCucUQfjEHIO6+xFBqv04FXvOE0Fy85M4ppcUQZyPULSuXxBBAAAAAAAAAAAAAAAAAAAAAAAAAAAAAAAAH3tkt7/yE0FGIBdTwWIRQQAAAAAAAAAAAAAAAAAAAAB2ddPcQPgSQQAAAAAAAAAAAAAAAAAAAAB1D8QBQC8RQfQ7DDI+/BRBAAAAAAAAAADFHj/HclQSQbv6wlz1jw9B4+HWYdQQE0GzHqrx5i8UQQAAAAAAAAAAAAAAAAAAAAAAAAAAAAAAANJ/p45xhBNBHOB88QMaE0EOLuocKNsPQQAAAAAAAAAAAAAAAAAAAAAAAAAAAAAAAJanbT/yzhBBY3Xaeni3DEEJqxRzVosUQWDPjxJf6BZB+NCEi3ywEUEAAAAAAAAAAHPRoVw47hRBAAAAAAAAAAAAAAAAAAAAAAAAAAAAAAAAH0jIDLWHE0E1+F2uILYSQYIr9s4h4w9Bw/DORg0BE0EAAAAAAAAAAJ4taBcxLxZBMDk866S7DkF8J/RvG2gUQQAAAAAAAAAAepnswSBdEUEAAAAAAAAAALoPIrONzxRBPon3rQPNDkGEg3AjOtkUQb5kQrpf4hNByicNEOvEFEFggR8FvUAUQdYDS7UbSBRBBPXg6gLHD0GdioPAfzwQQQAAAAAAAAAAh/fcGT64FkGoAp/dbdYSQRCFU28JEgtBem76tNbOEkHTi4PuaoIQQQAAAAAAAAAALXB6E7uzD0FjEX1NYDQXQQAAAAAAAAAAajV4PtyeE0F0Tb3MGSYTQQAAAAAAAAAAPM7+tu1bC0H68enwfVoUQXg49F4+2BRB5zCAs1dNEUGcWXUSjvYVQZm7GHWOXxFBEQ3YoDLTEEGUJ9eAcjoRQQAAAAAAAAAAAAAAAAAAAAA4T/hKligUQaGisATyehNBAAAAAAAAAAAAAAAAAAAAAAAAAAAAAAAAAAAAAAAAAAAAAAAAAAAAAI+uzZ4kRRBBRrvz/I/qEUE3tYDG9dITQQAAAAAAAAAAqDoT0nmWDkGug4KqHgcUQcy2UGDYbBJBAAAAAAAAAAAYkjMv0D8RQQAAAAAAAAAAeDYESXRBDkF6STp3FDkWQQnyyVApCxJBnYiGJQQkEkE83dbOh4kUQUKV3PrerBFBAAAAAAAAAAAAAAAAAAAAACMK/ouTwhVBAAAAAAAAAADoJkn3SWsRQQAAAAAAAAAAAAAAAAAAAAAAAAAAAAAAAGnfyJLV0BBBAAAAAAAAAADCwK0CEIMVQQAAAAAAAAAAioJYR+l2EkEAAAAAAAAAAJNdN7l0ihFBoL5oxeK6FUEAAAAAAAAAAMwRG1rcAhVBAAAAAAAAAAAAAAAAAAAAAAAAAAAAAAAAAAAAAAAAAAAAAAAAAAAAAFJzERNhcxRBAAAAAAAAAAClO53E2+MLQa59+kisxAtBpSFMTPCaFkEAAAAAAAAAAAAAAAAAAAAAAAAAAAAAAAAAAAAAAAAAAIr0rnmhMRFBLEjNxyqhEkH/msedvYESQbVk978uZhJBAAAAAAAAAAAAAAAAAAAAAHufeyM4VA9BdEoZcYVUEUEAAAAAAAAAALpieSzP4xVBAAAAAAAAAAAk0QivMiYNQQAAAAAAAAAAAAAAAAAAAADMIcEkMmQSQQAAAAAAAAAASoOgjGKGEUEAAAAAAAAAAAVl9ZJ6FRFBAAAAAAAAAAAAAAAAAAAAAD6KqtpQlhRBAAAAAAAAAAAAAAAAAAAAAAAAAAAAAAAAAAAAAAAAAAAAAAAAAAAAAATnryW60A1BMreIdEeOE0EAAAAAAAAAAM7rF9f9LBBBAAAAAAAAAAAAAAAAAAAAAAAAAAAAAAAAK3Ng7jSEDkEAAAAAAAAAAAAAAAAAAAAATF2sqIriDkEAAAAAAAAAADzAAM1O6hVB9jy7nYyBFEEqUdALEM0TQWxnWmOrihNByzyReAY7D0EAAAAAAAAAAFu0GuebGRRBZe8ILgkZEkEAAAAAAAAAAAAAAAAAAAAATiBKojgxE0EaXv4dFV0WQQAAAAAAAAAA8nymwOAjEEEAAAAAAAAAAEfo5LGHRwtBAAAAAAAAAACSaiyEwWgWQXxHhRVxPxNB/lZ3JQbpEkEAAAAAAAAAAAAAAAAAAAAAkj5fEjiTEkEAAAAAAAAAAHiaIf2TaBJBAAAAAAAAAAB8Uk4LOZ0RQQaVUYQTmhVB1Ty57DbHEUEKroF455ITQaUOl24pYBBBFSCv1ex6C0EAAAAAAAAAAAAAAAAAAAAAIJPU4mxyDEEAAAAAAAAAAKB7vVJdQxNBmPTiftypEUEAAAAAAAAAAAAAAAAAAAAAAAAAAAAAAAAWN8G5bb4SQfmXolTK+w5BAAAAAAAAAAANqPGEMRASQXyodCJUHhBB407Rx7vNEUEAAAAAAAAAAAAAAAAAAAAAAAAAAAAAAADejNlAwTQSQef9Li4yLxVBtgrO/9eMFkEAAAAAAAAAAFd0OXHL0g9B+rAdLYgcDkFuWZkR5pYSQZ+yQQ0hoRFBZ8gLIg0UFUGYUep9cPgRQQAAAAAAAAAA7Z7GKE0dE0HKw3gNPgkQQQAAAAAAAAAAAAAAAAAAAAAAAAAAAAAAAAAAAAAAAAAAAAAAAAAAAAB/tFP+e/UQQQx0+SumphFB+98iVk8tEEEAAAAAAAAAAJD5he9mpBBBAAAAAAAAAAAAAAAAAAAAAAAAAAAAAAAAAAAAAAAAAAAyg2kIoLYRQQAAAAAAAAAADnRQNXtyE0FgD1hum+sQQY+KFGNyVhNBAAAAAAAAAACJYzAnhXkTQRqFqyeGVxRBAAAAAAAAAABYfk6VvzIVQQAAAAAAAAAAFicS9R8KEkF6IrwA5GgJQfC7sQXvCBJBAAAAAAAAAACOTJRJY0UTQWmTCzkNKBVBAAAAAAAAAAD3ETu7fDcSQQAAAAAAAAAAAAAAAAAAAAAAAAAAAAAAAIUc+NOEHBJBSEIjeKC8EUEAAAAAAAAAAJ11TzsBqxJBAAAAAAAAAACgqX7iJQAXQQAAAAAAAAAAAAAAAAAAAABWcq3zrIsPQQAAAAAAAAAAD+yeYvZzEEEjEe4xFjIOQQAAAAAAAAAAbddTNUvqE0GcszKJ2ZsTQSl2CZlq6BRBAAAAAAAAAAAAAAAAAAAAAAAAAAAAAAAAAAAAAAAAAAAAAAAAAAAAAKbne8v5eRBBAAAAAAAAAAAAAAAAAAAAAAAAAAAAAAAAJJvkyj5QFUHspwRBYygSQfyFTpz+pBdBAAAAAAAAAAAAAAAAAAAAAMHKqm7Y/RBBAAAAAAAAAABgAdKp4scOQQAAAAAAAAAA5+Ra4HviEEEAAAAAAAAAAAAAAAAAAAAAJl+4rb9qFUFhN/foJEETQQAAAAAAAAAAkNzHiRxoE0Ewu3orXRoQQQAAAAAAAAAAPQes5RCIDUEAAAAAAAAAAGnHhbS7QA9BAAAAAAAAAAAAAAAAAAAAAAAAAAAAAAAAXpqDZy5LFEE3czh1OB8TQalrYZfx6g9Bdp8ipKf5EkGAxAgc7nINQemFIO2K2hFBTFzs8BrgFkEh0aE1B9gVQQAAAAAAAAAA0R2heXRXF0EAAAAAAAAAAAAAAAAAAAAAAAAAAAAAAADuoEOOCrsUQb1q83cXkRNBAAAAAAAAAAAubm4G1roRQQAAAAAAAAAAJC8XMgB0EkGGjxd+jqkSQQAAAAAAAAAAAAAAAAAAAAC8YHgos0IWQQAAAAAAAAAAAAAAAAAAAAClzmHeCbMPQYjUdAvTWRRBwgfI7tw3DUGkNBiA2dQVQfXXVj8XuhJBehuoHGl7FUEAAAAAAAAAAPl2xoP7HxFBAAAAAAAAAAA4eN2N7w8WQQAAAAAAAAAAhiFjeSLVFEEKGoLddIMPQXJwPLBXGhdBGFJvveBcFUGJ6pJ0C6cQQbDILpYRVxNBAAAAAAAAAACJnEky3OURQYaUfn41lRFBAAAAAAAAAABuSzGzqVoTQQAAAAAAAAAAAAAAAAAAAAAoIBwy03oRQRi3NTa3qhZBuPtHqtAcEEH32Cnw/qAQQRadHHNB0BVBymGJT/U3FUGIrJtW7RsTQcQUE/7u/wxBN7XGyVWvE0FKzergDcERQVapWWVzaQ9BAAAAAAAAAAAAAAAAAAAAAAAAAAAAAAAAcB8AAN7K+61oAAAAAwAAABIAAAAXTW9kZWwgKFJhbmRvbSBTYW1wbGluZynoAwAA5wMAAAAAAAAAAAAAHCHgsi41AEEljdLFsTL/QKjVw93HegRBvgNW+90uB0EAAAAAAAAAAGRsor7n7ARBAAAAAAAAAAAAAAAAAAAAAAAAAAAAAAAAFlTit/ciAkEAAAAAAAAAAAAAAAAAAAAAWlcnJgemAUG02DKfacADQQAAAAAAAAAASqERZFz0BkEAAAAAAAAAAD9+20EDLQNBAAAAAAAAAAB9Hy4+dWQDQQAAAAAAAAAAu7U4LYSfAEERkXziBwQGQezN7x8VNABBAAAAAAAAAAAAAAAAAAAAAEAcEZ90/ANBAAAAAAAAAAC/GvD5FLD/QAAAAAAAAAAAAAAAAAAAAACghenTtBAHQRHzBpk4LAFBAAAAAAAAAAAAAAAAAAAAAAAAAAAAAAAAMm0w83CgB0EAAAAAAAAAANI5vRlMiQZBMDKDeRSPBkEAAAAAAAAAAAAAAAAAAAAAAAAAAAAAAADed6KLTIkGQUBNvhv/dgZB/hMCHn68AkEAAAAAAAAAAAAAAAAAAAAAAAAAAAAAAADz15XaFVYCQYB+irCF6QRBPhl0jmTzAkEAAAAAAAAAAAfwJClpvQNBSYAC7mW7BEEAAAAAAAAAAPTuF63tLQFBZjDl7MyFCEGIb8bLTWoDQQAAAAAAAAAAAAAAAAAAAAAAAAAAAAAAAAAAAAAAAAAAEuN4j+eYAUFbYn8mzewDQY22+raT//5AA3fBJ4i0/0BxLyLxnVUCQeZkCJ+27fxAAAAAAAAAAAAaipjzX9j7QAAAAAAAAAAAVu8e6NMhCEEAAAAAAAAAAAAAAAAAAAAAAAAAAAAAAAAAAAAAAAAAAAAAAAAAAAAAAAAAAAAAAAAAAAAAAAAAAFpLcUM5WQFBAAAAAAAAAADatB+9PukGQRvWobJvZgJBAAAAAAAAAAAAAAAAAAAAAAAAAAAAAAAA+KvuylCHBUEAAAAAAAAAAAAAAAAAAAAAAAAAAAAAAAAAAAAAAAAAAAAAAAAAAAAAqr5HFkPwAEHGeqTfdzUFQcQenQMf+QRBJSS4CQfuA0EnWjkZD6kAQQAAAAAAAAAAsMZTcatOBkHcax10yPz8QM/m6a57aP5AAAAAAAAAAAAAAAAAAAAAAAAAAAAAAAAAAAAAAAAAAAD5ix5LEZ4BQXJSXgd7lwRBAAAAAAAAAAAc9eoc//kDQQAAAAAAAAAAWpKl5sVpA0EAAAAAAAAAADFd02Y5FgRBAAAAAAAAAAAAAAAAAAAAAAAAAAAAAAAAAAAAAAAAAAAAAAAAAAAAAAAAAAAAAAAAAAAAAAAAAAAAAAAAAAAAAAAAAAAAAAAARlKggC2WBEEAAAAAAAAAAEv3k7fxQQNBAAAAAAAAAAAAAAAAAAAAAFn6g+We4QVBRoAqS4WXCEEAAAAAAAAAANkFgJRkb/5AAAAAAAAAAABDm3BLAyX9QAAAAAAAAAAA56T1gFXNAEEAAAAAAAAAAAAAAAAAAAAAGPyEMCh2/kAAAAAAAAAAAACui6DCEAVBAAAAAAAAAAAAAAAAAAAAAKQfdfXXuwNBAAAAAAAAAAAAAAAAAAAAAAAAAAAAAAAAAAAAAAAAAAAAAAAAAAAAABSAKnh/4/1AAAAAAAAAAAAAAAAAAAAAAAzCv1jnIgFBV5vKVaqcAUEAAAAAAAAAAAAAAAAAAAAAAAAAAAAAAABCzaVjrWT9QLYj2mx8UwBB9LmOumqrA0HfVWvDoM/8QHERieBdHQJBAAAAAAAAAAAAAAAAAAAAAAAAAAAAAAAAiBvxmGci/kBWlasfsaUDQQAAAAAAAAAAQA7VRpLfB0EAAAAAAAAAAKlz9jIGZAFBCPzXJMcfAkEAAAAAAAAAAOZVaNTbagRBAAAAAAAAAACqwZDeoCAEQQAAAAAAAAAAAAAAAAAAAAAvxPKEWc4DQQAAAAAAAAAAAAAAAAAAAACmOtQEj0IBQQAAAAAAAAAAAAAAAAAAAAAAAAAAAAAAAAAAAAAAAAAA7kwdp6CaAkEAAAAAAAAAAAAAAAAAAAAA7g9wQL0EBkEAAAAAAAAAALXs6Jh1bQNBAAAAAAAAAAAAAAAAAAAAALpwCWKexwNBPZCJrmEvA0EAAAAAAAAAACZvBKlV9P1AAAAAAAAAAAAAAAAAAAAAAMCoRv3iIQJBqGRfinN9BEEAAAAAAAAAAAAAAAAAAAAAAAAAAAAAAABgM0/rFYMCQQAAAAAAAAAAiyu++SLe/kAAAAAAAAAAAAAAAAAAAAAAAAAAAAAAAAAAAAAAAAAAAAAAAAAAAAAA/M+LiIpvAkEAAAAAAAAAACta9tzEswJBcXUD4I2Q/0AAAAAAAAAAAAAAAAAAAAAAAAAAAAAAAAAAAAAAAAAAAAAAAAAAAAAA+Fo7dTyu/UAAAAAAAAAAALolQ6lfPQNBQf76qB3U/0AAAAAAAAAAAAAAAAAAAAAAAAAAAAAAAABXwkM84K0DQZC1soXuowZBAAAAAAAAAAAAAAAAAAAAAAAAAAAAAAAAAAAAAAAAAAD4gwW5y6sAQQAAAAAAAAAAAAAAAAAAAAA5FrbEiJUEQQAAAAAAAAAAOjY+Ye74/UAAAAAAAAAAAA26c4++nPtA4euxa2MxA0EAAAAAAAAAAAAAAAAAAAAAAAAAAAAAAAAAAAAAAAAAANrhpQwBtQJBNgX6Ow1rAUF4MZmt/goCQQAAAAAAAAAAyqiEBWGXAUEAAAAAAAAAAB4av8GQ2v9AAAAAAAAAAAAAAAAAAAAAAAAAAAAAAAAAAAAAAAAAAAAAAAAAAAAAAAAAAAAAAAAAAAAAAAAAAADehOpumKADQYihuV1o9P1AAAAAAAAAAAAAAAAAAAAAAM5+Qq1gtQFBUEI+h1g+AkEO5ZZ9EloBQVpGuTUzVAJBAAAAAAAAAAAAAAAAAAAAAAAAAAAAAAAAAAAAAAAAAADyhBu1+dL6QAAAAAAAAAAAAAAAAAAAAAAAAAAAAAAAAAAAAAAAAAAAlTxZVChRAkEAAAAAAAAAAAAAAAAAAAAAAAAAAAAAAAAAAAAAAAAAAL2XSwNyGgRBAAAAAAAAAAAAAAAAAAAAAAAAAAAAAAAAAAAAAAAAAAAAAAAAAAAAAAAAAAAAAAAAAAAAAAAAAAAAAAAAAAAAAAAAAAAAAAAArhu9RQ1EAUFUtA+vI9sDQQAAAAAAAAAA2qMphXAQAEGBK1Uf/vj8QPyjm1lDygZBAAAAAAAAAAAAAAAAAAAAAOQx8dmeNf9AAAAAAAAAAACq3LOU+4UFQQAAAAAAAAAAAAAAAAAAAAD6BD8q1TQEQbvrbsgulARBIvu1ACUHB0EAAAAAAAAAAAAAAAAAAAAANPf1dkNuAUEAAAAAAAAAAAAAAAAAAAAAsFXIRkz2BUEAAAAAAAAAAJzDOzlc7P9AAAAAAAAAAAAwKK3ap6oFQQAAAAAAAAAAt8pAvD3w+0AAAAAAAAAAAL4zxq2uu/1A4F74YUA7BUFAhDf9sC4HQQAAAAAAAAAA8AMcoim/AUHso1Xw4qsCQeZ+FrEEpgJBAAAAAAAAAAAAAAAAAAAAAAAAAAAAAAAAAAAAAAAAAAAAAAAAAAAAAAAAAAAAAAAAAAAAAAAAAACSbYCTrQ8GQZYPIpeTGf1AAAAAAAAAAAAAAAAAAAAAAA5Mgg9coQBBAAAAAAAAAAA+ZcQ+MtEIQQAAAAAAAAAAAAAAAAAAAAAAAAAAAAAAAAiPv+uyvgBBuMYuj6EFBkEAAAAAAAAAAAAAAAAAAAAAAAAAAAAAAAB5Ta7Uhh8CQQAAAAAAAAAAAAAAAAAAAACijW+RKZEBQQAAAAAAAAAACJGgfQwZBkGqXnTiK5z/QKMlxCXEXwBBAAAAAAAAAAA+P116HCQFQQAAAAAAAAAAAAAAAAAAAAC6mjEob2MCQQAAAAAAAAAAAAAAAAAAAAAAAAAAAAAAABBtXv4JWwVBAAAAAAAAAABuZXhaAjYFQfqvrHsZEQVBAAAAAAAAAACa5x92z1wBQQAAAAAAAAAAeO5iLU00CUEAAAAAAAAAAAAAAAAAAAAAeqdirIN1AEH8F108ohoEQQAAAAAAAAAAAAAAAAAAAACfe5f+kQcBQedFlRlLkwRBAAAAAAAAAAAAAAAAAAAAAAAAAAAAAAAA9kUJt1WTAEEAAAAAAAAAAFafHU8YbQJBAAAAAAAAAAAAAAAAAAAAAAAAAAAAAAAAAAAAAAAAAAAAAAAAAAAAABIQVfTtpwdBAAAAAAAAAAAAAAAAAAAAAAAAAAAAAAAAAAAAAAAAAAD7cfJ8KDoAQWDi/yXWTAVB3FfthZNdA0EAAAAAAAAAAFKmbTrrNQFBAAAAAAAAAAAAAAAAAAAAAAAAAAAAAAAAAAAAAAAAAAAAAAAAAAAAAAAAAAAAAAAA9hoNmDsYAkEAAAAAAAAAAAAAAAAAAAAAAAAAAAAAAAAHbVxqzGMBQRg9610qAwBBAAAAAAAAAAAE3AAngmMBQQAAAAAAAAAALFWFrKEO/UAAAAAAAAAAADs1r+HFkQBBMJvrA6MOCEEAAAAAAAAAAFQBMsr4WwZBAAAAAAAAAADgZ428cswEQQAAAAAAAAAAAAAAAAAAAAAAAAAAAAAAAAAAAAAAAAAAfJPLDgyTAkEAAAAAAAAAAFwwPti4VwJBAAAAAAAAAAB7udsAkCkAQTXAfdOz4PpAAAAAAAAAAAB4Zf+sVOD+QG1ZxGHBGwlBAAAAAAAAAACSHm/MMZwAQRJYpNsbiwBBQgO5os2XBEGcgSxTQloGQQAAAAAAAAAAAAAAAAAAAABIO1FngTkAQQAAAAAAAAAAAAAAAAAAAAAAAAAAAAAAAAAAAAAAAAAA9IepY8HTBUHxIwg+WXQBQRxUqVHN+f9AAAAAAAAAAAAAAAAAAAAAAAAAAAAAAAAA0JNgxk3QAUEAAAAAAAAAAAAAAAAAAAAA75z4uHeI/0AAAAAAAAAAAAAAAAAAAAAAuLIwQE4X/kBGCYT87LQEQQAAAAAAAAAAAAAAAAAAAAAAAAAAAAAAAAAAAAAAAAAAfPm6yqe+AkFV+nn+MnUGQQAAAAAAAAAAAAAAAAAAAAALTASecbwAQXYaQJlbDgFBvgtsKmMxA0EAAAAAAAAAAAAAAAAAAAAAAAAAAAAAAABY51wWXEQAQejdqW30rwdBAAAAAAAAAAA9IAjHHCUCQQAAAAAAAAAAAAAAAAAAAAAAAAAAAAAAAAAAAAAAAAAAAAAAAAAAAABGa1m6xoAAQQAAAAAAAAAA8FTNDelaBEHeGGww2xoEQQAAAAAAAAAAPhavYi1b/0Ao3qr3HnIIQQAAAAAAAAAAqq8ZH9c6BUEyRboBnE4EQYOocjXStABBAAAAAAAAAAAAAAAAAAAAAL0TyoSmBAJB2dsRbYo5AUHepUJmLDcCQQAAAAAAAAAAAAAAAAAAAAAAAAAAAAAAAL0qzMz2SAhBAAAAAAAAAADMjLfsvrf+QAAAAAAAAAAAgKZxZ+jvA0EAAAAAAAAAAAAAAAAAAAAAAAAAAAAAAABccrVLfycDQQAAAAAAAAAAAAAAAAAAAAAAAAAAAAAAALK2pYlufAFBAAAAAAAAAABijQr8P6YEQQAAAAAAAAAAOO806lQe+0DsWeF3koYEQQAAAAAAAAAAxpC+KPdAAkEAAAAAAAAAAAAAAAAAAAAAT8HNoaRhCEEAAAAAAAAAAAAAAAAAAAAABvnusOLWA0EAAAAAAAAAAN9aPgq+sQNBAAAAAAAAAADGH518CBv9QAAAAAAAAAAAAAAAAAAAAAC+FHur87cHQQAAAAAAAAAAyhE20XBVCUEAAAAAAAAAAAAAAAAAAAAAAAAAAAAAAAAAAAAAAAAAANaWGoQW9QFBYa2Psm4mCEGAavSH1BAFQQAAAAAAAAAAAAAAAAAAAAAJRrKXPXoCQS8t3m+VdwJBAAAAAAAAAAAAAAAAAAAAAAAAAAAAAAAAAAAAAAAAAAAAAAAAAAAAAAAAAAAAAAAAHwZDEe8UAUEAAAAAAAAAAAAAAAAAAAAAAAAAAAAAAAAAAAAAAAAAAIJhKCkeyAZBaTQW5fxIAUEAAAAAAAAAABumXAb8QgJBAAAAAAAAAAAAAAAAAAAAAAAAAAAAAAAAAAAAAAAAAAB8WAI5QJECQQAAAAAAAAAAAAAAAAAAAAC/QtkkRHv9QKGrQ0o3YwZBPMCNe9WABUEAAAAAAAAAAAV3IQeUkgJBAAAAAAAAAACf3tOQrcUAQQAAAAAAAAAA2zgmpMLA/0AAAAAAAAAAAAAAAAAAAAAAAAAAAAAAAAAAAAAAAAAAAAAAAAAAAAAAKZFUIZtoAUEAAAAAAAAAAAAAAAAAAAAAjO0aq2a7AEH3ZkKz4YcBQT1GEEs0EgZBAAAAAAAAAAAAAAAAAAAAACw6ef6PYQRBgmX7rPxn/kDHLrk1h6n+QB9AxLs03wNBAAAAAAAAAABSTSiOfswCQQAAAAAAAAAAoO403xfkBEFs5lZv8AsFQQAAAAAAAAAA+nIfzi2/BkGj/upqMob8QAAAAAAAAAAAlimDlEXVBUHTYh1ElrQFQQAAAAAAAAAAAAAAAAAAAAB1zx1n8UoFQQAAAAAAAAAA8GiKS5VvBkEo/6uVrnQGQWuNLBUR0QJBVKZVWGm7BEEihkdH9R/+QAAAAAAAAAAAAAAAAAAAAAAAAAAAAAAAAH67vJz4PP5ARPnsEsZD/EAAAAAAAAAAAIDxCNjRLgFBAAAAAAAAAADrpNpAXXIAQQAAAAAAAAAAAAAAAAAAAAA0V6fdjw4BQQDWz50gyAJBx1OEQYMZAkEAAAAAAAAAAAAAAAAAAAAAkcsbytUKAkH/FdHEhoj7QAAAAAAAAAAAAAAAAAAAAAAAAAAAAAAAAAAAAAAAAAAAAAAAAAAAAAAAAAAAAAAAAAAAAAAAAAAAAAAAAAAAAAAAAAAAAAAAAAAAAAAAAAAAjcUI0oBGAkEAAAAAAAAAAAAAAAAAAAAAAAAAAAAAAAAAAAAAAAAAAAAAAAAAAAAAAAAAAAAAAAAAAAAAAAAAAJnCxCAQ3QBBAAAAAAAAAAAd65k2p+ADQQAAAAAAAAAAnjyq+Ky0/0AAAAAAAAAAAAAAAAAAAAAA/gz4OMp4A0GAGuaS1qEEQQAAAAAAAAAAAAAAAAAAAABqjKWvKiQBQQhLR41NEQVBa6jDkcFjBEF07lIQoG0CQQAAAAAAAAAA9wUAzP9z+0AAAAAAAAAAAAAAAAAAAAAAbf7CYYduA0EAAAAAAAAAAD9jB3vIJflAXOp9HpJmAUEAAAAAAAAAAAAAAAAAAAAAAAAAAAAAAAAAAAAAAAAAAAAAAAAAAAAAjZAMR/H6AEEAAAAAAAAAAAAAAAAAAAAAckKcMsqOAkEAAAAAAAAAAMxWwVh8KgBBAAAAAAAAAAB/7DeA3zYFQQAAAAAAAAAAAAAAAAAAAADEtvPcC1cCQQAAAAAAAAAA9vAelDggA0EAAAAAAAAAAAAAAAAAAAAAAAAAAAAAAAAAAAAAAAAAAAAAAAAAAAAAdXj+DushBUFZtZDLuez/QNj88kvLJgRBAAAAAAAAAAAAAAAAAAAAAAAAAAAAAAAAAAAAAAAAAAAAAAAAAAAAAAAAAAAAAAAA3o/aF4qs/kAAAAAAAAAAAAAAAAAAAAAAAAAAAAAAAAAAAAAAAAAAAEHHUiPn1gVBAAAAAAAAAAAAAAAAAAAAAAAAAAAAAAAA7+khauzVBUEAAAAAAAAAAAAAAAAAAAAAAAAAAAAAAAAWehWPVWAAQQAAAAAAAAAAAAAAAAAAAAAAAAAAAAAAADxaLQSbIghBAAAAAAAAAAAAAAAAAAAAAAAAAAAAAAAAAAAAAAAAAAAAAAAAAAAAAAAAAAAAAAAAAAAAAAAAAAAAAAAAAAAAAAAAAAAAAAAAAAAAAAAAAAAAAAAAAAAAAAAAAAAAAAAAKOJba4d6AEEutKkFz6sEQQAAAAAAAAAAYLipEbRYAEGv36AbaqUBQe3i1rSy6QVBRZQDY077BkGIHZzYeu/7QAAAAAAAAAAAAAAAAAAAAACqQH7mAPMDQQAAAAAAAAAAAAAAAAAAAAAAAAAAAAAAAAAAAAAAAAAAAAAAAAAAAABYbTln+dMHQQAAAAAAAAAAI42Gn7ouAkEAAAAAAAAAAAAAAAAAAAAAAAAAAAAAAAAAAAAAAAAAAAAAAAAAAAAAAAAAAAAAAAAAAAAAAAAAAE297NH9KgRBAAAAAAAAAAAAAAAAAAAAABcXic5yVwdBfpUCINwAB0F2zoh1TKf+QKqzcfLW4ABBAAAAAAAAAAC6e33Klv8CQTaImMB3x/tAAAAAAAAAAAD6R1xmmzUFQQAAAAAAAAAAAAAAAAAAAAAAAAAAAAAAAIaSxirOZv5AAAAAAAAAAAAAAAAAAAAAAAAAAAAAAAAAAAAAAAAAAABR1zC7QCsGQdcXcphK0QRBAAAAAAAAAAAAAAAAAAAAAAAAAAAAAAAAPELyIwG1AEEAAAAAAAAAAAAAAAAAAAAAAAAAAAAAAAAAAAAAAAAAAAAAAAAAAAAAnHeVJvdS+0CclTXKnJUAQQAAAAAAAAAAD1kn7QBYAkEAAAAAAAAAAAAAAAAAAAAAAAAAAAAAAAAAAAAAAAAAAAAAAAAAAAAAHEaHE8nTAEFHzhBZbNkIQdwYuwlsuwBBFppZjeNMAEEb9rjXmgsAQZKnkdm1LQFBAAAAAAAAAACtt5Y+pa0DQQAAAAAAAAAADOZCeAiB+kAAAAAAAAAAACZdA6MhWwFBAAAAAAAAAABiF0p7vWoGQQAAAAAAAAAAfInCwRuTAkEAAAAAAAAAAChEQmJkNP1AMn/fWYWWA0EAAAAAAAAAAAAAAAAAAAAAAAAAAAAAAABwpchSmRMFQUC4hpsrlwJBMMf2ys2dBUFgeHHD58EGQQAAAAAAAAAAAAAAAAAAAAAAAAAAAAAAAPai9TytOf9AvOtPR25J/kAAAAAAAAAAAAAAAAAAAAAA8uxyEIIVAEHkaPf/+2kCQYDEBiDzLgFBAAAAAAAAAAAAAAAAAAAAAAAAAAAAAAAAAAAAAAAAAAAAAAAAAAAAAAAAAAAAAAAAAAAAAAAAAACgRkx9cZ4BQQDs7kRkSwBBAAAAAAAAAAB2FsAnmHn+QAAAAAAAAAAAAAAAAAAAAAAAAAAAAAAAACc3rCjZXwBBAAAAAAAAAAAAAAAAAAAAAAAAAAAAAAAA5uzd0kPh/EAAAAAAAAAAAHF66ddnewNBAAAAAAAAAACWpIEZALP9QAAAAAAAAAAApdgSSs4wA0EAAAAAAAAAAAAAAAAAAAAAAAAAAAAAAAAAAAAAAAAAAAAAAAAAAAAAAAAAAAAAAAAAAAAAAAAAAAAAAAAAAAAAAAAAAAAAAAAAAAAAAAAAAAAAAAAAAAAA3XfBnXgJBEEAAAAAAAAAAAAAAAAAAAAAAAAAAAAAAAAAAAAAAAAAAAAAAAAAAAAAAAAAAAAAAAAAAAAAAAAAAJ4aIbjsMQlBsKRrhTHwAUEChjCgcsYBQSJSusq+FQFBAAAAAAAAAAAAAAAAAAAAAAAAAAAAAAAAAAAAAAAAAAAAAAAAAAAAAAAAAAAAAAAAAAAAAAAAAAClVLs3pk/9QMTjse3PHABBvu7tnE3xA0EAAAAAAAAAAAAAAAAAAAAAAAAAAAAAAAAAAAAAAAAAAAAAAAAAAAAAvJ4tntRSBEFZvC5rfSMEQQAAAAAAAAAAJdENh9TVAkE4sUdF7yECQQAAAAAAAAAAAAAAAAAAAABoUD6aRaz7QAAAAAAAAAAAAAAAAAAAAAAAAAAAAAAAAAAAAAAAAAAANPzt40kkCEEAAAAAAAAAAHfbJHnqaABBAAAAAAAAAAAAAAAAAAAAACom1PA86gFBVHMP8tGAA0EAAAAAAAAAAEwmqNGqZf9AAAAAAAAAAABPrMtPaW4CQdQdhXNYyABBUjtimKOj/0AAAAAAAAAAACTHZRONqwRBPAHsTgUXA0Eya0luclsAQQAAAAAAAAAAAAAAAAAAAAAAAAAAAAAAAAAAAAAAAAAAsPzmk3KTB0EO3YFPrjIEQfHG9pjhOwJBAAAAAAAAAABRLw2jlqn9QAAAAAAAAAAAac+PWeLBAUEyEAOAtHQEQQ5DfrYGXwJBAAAAAAAAAAAAAAAAAAAAAAAAAAAAAAAArMjJbMW7B0EAAAAAAAAAAIoxGRYNJwVBobcgoEz+AEFolFfmYzYJQWAENgq0EgVBAAAAAAAAAAAAAAAAAAAAAB5DvDdDdwRB04eDcsyUAEHAEXIlVS7/QDfLmjP9BwZBAAAAAAAAAABzohWUJDUAQQAAAAAAAAAAAAAAAAAAAAAAAAAAAAAAAAAAAAAAAAAArqpMPEw5BUFCnHdRXjQFQTxUSiQsjANBcNHow/NGBUEAAAAAAAAAAAAAAAAAAAAALh4c6abHBUEAAAAAAAAAAAAAAAAAAAAAAAAAAAAAAAAAAAAAAAAAAAAAAAAAAAAAAAAAAAAAAAAAAAAAAAAAAAAAAAAAAAAAXrKzV4RB/kAAAAAAAAAAAAAAAAAAAAAAkE3wz7YL/0AAAAAAAAAAAAAAAAAAAAAAAAAAAAAAAAAAAAAAAAAAAAAAAAAAAAAAAAAAAAAAAAAAAAAAAAAAACBZIpEbAANBcB8AAN7K+61oAAAABQAAAAgAAAAXTW9kZWwgKFJhbmRvbSBTYW1wbGluZynoAwAA5wMAABa3LEtgHfpA8wPsUsG090BjEtGPsBf4QONks8zco/dAAAAAAAAAAACC4IvVvXX5QCn6JdbVkfhAQuUOoYuY+EBg8GsxMZn1QPDEYRS4TPlAEDUdRf839kAAAAAAAAAAAAAAAAAAAAAArai5GzUc9EAAAAAAAAAAAAAAAAAAAAAAHAKIPlnO90AAAAAAAAAAAJXAPFbRrfNA6gAV8fyu9kAAAAAAAAAAAAAAAAAAAAAAAtVsOtjr9kBASkKyAUX8QJbIl9M+YPtAczkD7Y9q9UA/SHGMydjzQCUtsd8g3/lAAAAAAAAAAAABJU7fT8n0QEpPBNE+zftApteM82zW9EAAAAAAAAAAALYaeSpBzPlAXjDiVS9y90AVp+vnKG/1QH/4968UQvVAAAAAAAAAAAB56JOtIb/6QGBWewY9JvtARoAKpP9C+0AMK9lA7Wv5QAAAAAAAAAAAkC81r56b/UAAAAAAAAAAADQhucqRp/VAAAAAAAAAAAAAAAAAAAAAAHA9US/hfPhAAAAAAAAAAADkH7kdvGH7QA3Pb7QWOfxApFNG6BSx+0Dxgpc+vd35QPMntEW+SflAaYYIrTdQ9UAAAAAAAAAAAAAAAAAAAAAAmFkVfFiX9UAAAAAAAAAAANoqP9+T7/tAfh6WhUOv90DVnmL6UNr9QEf+ZbqC7v5ADekv0kck9kAAAAAAAAAAAEd5F2oP3fNAvBXA+Sak9EAAAAAAAAAAAKrDygUpFPpAnZCwH6xG+kDJNOrg7If9QGz4Kg3W/fJAitrZd+R++UAsDxdrs3T3QFSBbn0oUfpAET8w7uXK9kAAAAAAAAAAAHRJmXN2ZPpADuKUVw1u/UDwkV18Mz75QBBAEAzO1/ZAluwbL3vO/UAAAAAAAAAAAKOIVpgs8PdAKupGTCcf/UCSvywR48j7QHoNOZdWMfZAciNOZnaU+EACkOatPDz0QAAAAAAAAAAAT7GZ5SnO90AAAAAAAAAAAAAAAAAAAAAA3lCzUT1N/EAAAAAAAAAAAHgjXRZ4SfxAixmdFcYK+UCSibQqS2f3QIrRk5wBOP9ADrzv3Nt7+EA4orWFHiz2QAAAAAAAAAAAAAAAAAAAAAC0qOkXuvf4QPA2SDEYevdAAAAAAAAAAADZBeBoarD1QAAAAAAAAAAAxu+gthR59UCAQeYFD7X7QOUSWH72kPlAJejpKFT3+0CxdEGpnPX0QPmJg4OpT/tAEsdh8t7J90C4fXJktwj2QAIChF0FOflAbO7BMOlx9EAAAAAAAAAAAAAAAAAAAAAAAAAAAAAAAACKiW5xUkj3QAAAAAAAAAAAAAAAAAAAAABKNhpYTuj3QGxy1TIjYvhAVN9P6OuI9UBCydRkl/D3QIj/p9DxMP5AfycV5Sh19kAAAAAAAAAAACqMxtG8LP1A2mw/kvIx90BueUKZdOf1QAAAAAAAAAAAOOvy+7zn9kAAAAAAAAAAAC6EcU141v1A/GSxUQAB9EDhjbK3dKb0QDLuJrg8pvdAAAAAAAAAAACeneHcIpv5QLG9iWXwxfZAfUMj/KUq+UAlh8UdTHr3QJysUEWMCPxA5qSbVx9w+EBCt7EzglH1QMct/dDArfhAaQ7dTdLf+kCKJnLmsQz3QFXLWLmrtfhAjgnT7Nto+0C1Q/R2OZ34QAAAAAAAAAAA4GEzFByS/EBA16HgRvz1QPUuw16ACfdAAAAAAAAAAAAAAAAAAAAAABJXztzFGfxALzqKxHBH9UA8QrLrZFf6QGf8yh1xkPlA6ubl9XeI80D8iWyX9d74QJab5yy0+vdAAAAAAAAAAADCXzuDK1D4QAAAAAAAAAAAohiFylCj80Br5RqCyyL2QO69T0nvW/VAAhjzUvIJ9UD4Y1YlE+33QP9TvaeLvflAAAAAAAAAAABU11yF9C77QD3u01WxOvVAAAAAAAAAAAAAAAAAAAAAAIum5enj+fhAG6lvc1Ki9UAxV2/a1574QAAAAAAAAAAAd7isQ0yr+0CEtfsth6f7QCGYBU6DPPlAWugJMfHG9kBmKEgZ8rP5QJm2KvFLH/1Afsn83T/M9ECOhwQz/xn2QC7tAyWeoPZAAAAAAAAAAAAAAAAAAAAAAGbHmQLEkPhAsvizCXoX9kAAAAAAAAAAAF17vCmbVPZAAAAAAAAAAAA29s+QiBv3QJ39tcYRPPlAAAAAAAAAAAAAAAAAAAAAAFgvU3G5xfdAPvrgvH/g9UAAAAAAAAAAAMa3C/xVSfdA825vpwDY+UCT63w9XfT5QAAAAAAAAAAAXowNW8Oe/EC2DLAZst70QBdd7YDVaPtAeoV+iD3x/UBYyngyn7f5QLvFcje2OPpAPGEXrYEI+0AhWtHHQyH1QE1N3yK+UvRAQb18LCgh9UAAAAAAAAAAAIhlMxBEtfRAAAAAAAAAAADS0eXzK2H7QAQcJFyErflAAAAAAAAAAAB/osv9Byn8QAAAAAAAAAAAEqt+Z2Rw9UAAAAAAAAAAAKCNtSKUOPhAOti1DCe1+kDuZa9Y1sL6QBhZgeweKvlAMXWpdYpd+EAE4wveawP7QO/DDkbuu/tAURZsKdkl9kAAAAAAAAAAAE7BE+tlR/ZAAAAAAAAAAAAI8N4VGaD1QPrMW3+Ai/pAAAAAAAAAAAAHa93ir632QAAAAAAAAAAAAAAAAAAAAAA1CdTqycz1QAAAAAAAAAAAqHrzAyS/9kD0XrHxA1DzQEyORKQqY/tAAAAAAAAAAAA2Qj23exj4QJQhhR3mUPdAQIiIbSpc/UBGCkXjbPn2QAAAAAAAAAAA9Yaj59uE/EAAAAAAAAAAAO2uEzJ9zPRA/E02oQTs/kAAAAAAAAAAALZfaUJks/lAeaoOqk5m+kAAAAAAAAAAAIbpCF83of5A5FF05riO+UCiY6SRmvn7QAAAAAAAAAAAbKUUH7Yz+EAAAAAAAAAAAPbBIG/U6/lAjV+k6NCd9kAPozryBHb1QCyDJnoRWvhAZh7gDznm9UAAAAAAAAAAAOekP5T18/dAnqDLeE5u+kA+5MwQyAP2QDcVdFl9ZfZAMU8hd1ch90BBVzuTlZz2QAwoilS8k/5AAAAAAAAAAAB6gYfcwYH1QJzNWEJGm/tAAAAAAAAAAACwPVnYt7H6QMfWH4WEjfVAAAAAAAAAAABDkFONLjD7QAAAAAAAAAAALM3Ws6YC+UAAAAAAAAAAAAAAAAAAAAAA9pbHR2Pa+kC8QcVRJxP9QAAAAAAAAAAAO9tAJ9En+kDPL0Se6er7QAAAAAAAAAAAAAAAAAAAAABoxkKVFMT7QJ6tGJzCi/hAAAAAAAAAAABqEVJQIKL2QH8kd555UPlACuOoJi3c+kD4EdFvLj77QHCWRJplW/xAzmM6BNtX/EAAAAAAAAAAAAAAAAAAAAAA0RqmKzHr90AKwsjvDHL3QGbMGuGN1fRAxi/xNfI2+kAAAAAAAAAAAM5pdWj4PvdAZjA2/v5a+UAAAAAAAAAAAJRBwdgC8vVAXnV5StEw+ED+1pSw8Yj0QIxVR1K1dfhA2ls1Q6dI+0AAAAAAAAAAAAAAAAAAAAAAReecvrdC9kAMDnCtdin3QJA/TsUdi/pAAAAAAAAAAADOXPWAwvb1QAAAAAAAAAAAAAAAAAAAAAAAAAAAAAAAAAAAAAAAAAAAAAAAAAAAAABc/49GnuH2QAAAAAAAAAAA3RfzNtbH9UAAAAAAAAAAAAAAAAAAAAAAUIkOkVg0+kAqWXYGxdL9QCFqEfRbCvVAAFXBStmI/EDXWo+IVFb+QAAAAAAAAAAANCzrP3Zk/UBnOdlaSKT1QIjfe87GcfdAqKBtjCHO90DkMBr0lRX3QKsH1KjJwPRAe0tNzP71/UA69tWM+Xn4QKACc/orKfVArknwBSrd+UAXdt9HSpD4QAAAAAAAAAAAIp1IHYg9+UAf+Si5Ugb2QBzf5JYIYPZA7N2Gb+4l/UDechJGbvL7QHG6VLW9JvhA13iLbUT3+EBVDvPZ/FP7QAZS3uTZ6fdA37yJYb6R+UDEREkIuNj0QH3019r9TvxAkMXm59DT+UAAAAAAAAAAAAAAAAAAAAAA9P6JBS43+kABBkHO1yPzQLfxuAW77fhA/qESbdaa+UAygvLblKD2QNVrpLk+WfVAASaJjRjd9kAGq3iCGR/6QIB72rCAQ/lAX6e6wjj3+0D9Gqzv2I/0QHn8OzNUi/pAc62lEJ1C+EBiv9XpEAD/QAAAAAAAAAAAB9oF3rzS90AAAAAAAAAAAELlaMqrmv1A0vXx5RR9+kBG1tPayMD5QPDsUyJEmfVAAAAAAAAAAADMWJA754b0QA3Cz3Ty1P5AAAAAAAAAAACuRYk+ee/6QBLq9D2qXfVA4Iwt6/ub80Bg09yfWiH7QIAi3tNi9PZAC6clb8VA+0Aa/dKI4aX8QA5SGqXBLfdAAAAAAAAAAADlCyJXv9T4QAQjDt1LL/tAAAAAAAAAAAAAAAAAAAAAAAAAAAAAAAAADheiNX4p9kCiUCuRmQ76QAw1wRczDfpAAAAAAAAAAABq+Ne2PAP7QBiSt+K6Z/dAAAAAAAAAAACgjaSxlFH5QAAAAAAAAAAAlIdIQCr190B01wrG3dT5QO1eKTGz2PZA7uJyXIKp9kAWuZD2p8f0QBCoueu5WPlAflJgxZnp+0BlA7V6Z4L9QD7Od0HhjvhA+SF7soV790DovuILj0b1QAAAAAAAAAAAeoPsTZ3n90AAAAAAAAAAADjNHULchf1AuMo4f8f490Dv03bmUmf3QMw1iQtCj/dAqqEtBzDI/EAhOrZNjrP0QAAAAAAAAAAA1MVAE9b98kDui10abHj2QJ/PD6xW9PlAAAAAAAAAAAAf/TjvOXj2QBGLiCugx/NAAAAAAAAAAAAsyxk6YV/3QFJglhnjy/ZAAAAAAAAAAAAka/Mistv1QKblFf293P5AbG5GSivJ90AJxtvSqfrzQCWYDooue/pAAAAAAAAAAACq3/5FT0f3QAAAAAAAAAAAR2x7dRLO+UC0eI+9+YH5QAAAAAAAAAAAYuqqrQB++kCqoemJBx74QIJRYwjFwvpAAAAAAAAAAABYwuBl/bH9QGT3GnsUMPdAAAAAAAAAAADCJTD+eeD4QAAAAAAAAAAAi9/ObHIL9EAAAAAAAAAAAKEfTDhFOfZAAAAAAAAAAAAee2xHixX7QAAAAAAAAAAAAAAAAAAAAABrMGquGZn0QPJlBnzFFftAvYC5loj++UBTLM0kkGr4QHem/nSYtfVAlhLnTrqY+EAAAAAAAAAAAG9HqtRMsf1AamKtFYd7+kAuwYGPBcr5QAUeASGYWv1AAAAAAAAAAACcNiHRa6r8QAAAAAAAAAAAEnCPqFGy+kBtpuyLjTL8QLDrUSDiwP5Aiv3XWVKt90CIHbWXMWD0QAAAAAAAAAAAsBBkKaY7+EAAAAAAAAAAAAAAAAAAAAAA8n24/V/H90DVNjPevCH4QIoBH4OEiftAAAAAAAAAAAD8z09ZwCH5QAAAAAAAAAAAKKHoF9TN9UAAAAAAAAAAAAAAAAAAAAAA5Qrg/hIS+kBC/1JQcTz4QMhbu6chPvlAEurlIvc89UAAAAAAAAAAALwAabROePtAAAAAAAAAAABWl/gK0RT4QAAAAAAAAAAAAAAAAAAAAABmSVLg4XP3QEjou5UrpvxAAAAAAAAAAAC99jBaPYn3QPSV1d06cfhAbhW6ywKX9UAAAAAAAAAAAM9lTwOwDPlA22ZAXD4t9kB9fSb2nYD0QFzDPIMxefVAAAAAAAAAAAAAAAAAAAAAAGgLOlZHqPxAby/LrVwk+EAAAAAAAAAAAFxFIwgeafRAAAAAAAAAAAAAAAAAAAAAAHSGNuyA0vVAAAAAAAAAAACxM/WXRhj+QAZ0bjhlbPtAAAAAAAAAAADozkx6wAn6QM8Zb4b4RvZABAa6CPYB90BviiHu90H6QAAAAAAAAAAALaMuk831+EB2t28GZxT5QAAAAAAAAAAAAAAAAAAAAAAAAAAAAAAAAKQvNw43IvxAAAAAAAAAAABYp9bPeEz4QB0EEhLvt/dAum6Z5EA6+UBX+YGxh/L3QAAAAAAAAAAABrlTp4ad+EAAAAAAAAAAAJDO0iTF4/dAyAy+kLa39UAAAAAAAAAAAOfCoyPonPpAfNbkDdXh+EAAAAAAAAAAAPwvg44HZ/lAAAAAAAAAAAAZtPQymzr1QAAAAAAAAAAAMMpNiawq/EAAAAAAAAAAACjVa3860/ZA45cWp/Vz+ECyQuKjE3r3QBS2M4jpg/hA5EfoSS789kBsfMnEFCL8QO6XPYd4JP1AaNMsLJvh+EDSkTivTrz6QAAAAAAAAAAABiBenLGr90Dg2alSv0X6QJG8vtsKC/lAiro2R8rP80AAAAAAAAAAAAIOZhsICfZACKb5RZQI90Dew1p1h2/8QDD2ySpeBPtAAAAAAAAAAADEArXJxcT2QAAAAAAAAAAAAAAAAAAAAAD7khQvr/z0QCKv7PFHCfhAE34txYyf+0Baq2lKjSj4QESUl9B+1PpAAAAAAAAAAAAAAAAAAAAAAFCVjFya7fdAmGORe8Bl+UB/3Di16W32QCh0mgMv2vVATCjelejc+EAM0rSIUq31QKF4aBTWL/hAU5M5EQDh+0Da8iiDMdf1QL3KXPZI3PpAPBnbpatA/kAHDU9NSyP5QNWZ81oGM/lAAAAAAAAAAABWGNjwCx/5QPMLcIib+PpAAAAAAAAAAAC3DWCnbfD1QDMN6tr5svRAAAAAAAAAAAByLGq9ZtT2QAAAAAAAAAAAAAAAAAAAAAAAAAAAAAAAAFRTe+VCKvZAAAAAAAAAAAAAAAAAAAAAAGSbaUxFWPhAw62x4JQm/EAAAAAAAAAAANn+Coe70fhACG6xO7ma9UBGAlHQ7Kv6QE6gp52kJvZAAAAAAAAAAADo21p7QTf3QAoRkoBSHvhAxcscsBUO90ABYoPCBHv+QACPJhtv4vxALTzog4Ma90BROOtZnZ77QAAAAAAAAAAA3HXxvrC59UBkW/YNnoT3QAAAAAAAAAAAUGZkBtDl9EAAAAAAAAAAAGhUkGLr5PxAZcLs0urt9kAAAAAAAAAAAOqp19fxcfhAjIVvLFu/+0AAAAAAAAAAALCoCiOhV/1ASLOVsVU7+0CKWKJbnPHzQAAAAAAAAAAAsFJwfUeS9UDsJm/0Zur7QAAAAAAAAAAAvqcevnJj+kC5Biku9NX5QD1yThdNJfVA9C36bbmT/UC46p4r3yz3QAAAAAAAAAAAAAAAAAAAAADxEv21Xy38QG6TqGoQ/fhAlGgMRxsg+UCGIgV4F2v0QAAAAAAAAAAAjz7geqBP+UCck+Q2QJf3QJznrQRCQfpAxLSpnKXF90Cov99hGFT7QJZHFDFBYvhAubHTEJpv+UAbgiNor8v0QAAAAAAAAAAAjl/qcomu9kBiNPlfMi/4QAAAAAAAAAAAeLQqJB/C+UDP+ULDO3b5QKK8woWn7PhADjHR2VWs+EBYMXueLQj2QKVcq0HlkPlAsTeo9YQl+UCJ51mWONn2QAAAAAAAAAAARjddwfI1+0BIAoANmCT2QIFxlC9zfPlAsvtsuOlq+EA6mhJJrVv1QCQtS+H7fftAHpcS1fxl80DsJzDYpjv2QAAAAAAAAAAAA82+UeXz9EAvJtBklj30QNGKi0inSPVA9jBBjm+Z+0AAAAAAAAAAAAAAAAAAAAAAAAAAAAAAAABcZNcYH/n5QAAAAAAAAAAAAAAAAAAAAABGaWGxZRH7QAAAAAAAAAAAJ1fuE01P+UAMVAzsIF/6QDXhkzEvNflAXK/8Fidq90DU0LIXgfj3QAAAAAAAAAAAbq8n7Dsn/EA8OymlHiv5QIY/nSm5JvpADuGAUI2M9kAg8udvd8n2QJ4bRg3MhflAjOjhnACQ/EBrtRQJLa30QJZ379D7wvlAvCwUtWxF+kCWbIxYWd37QAAAAAAAAAAAAAAAAAAAAAAdL+c5gxH3QHAQHrMYLf1AKfqnNMk7+EAAAAAAAAAAAEJU048X2vNAeHE0IW9h+UAoqcTwIsj1QL6VxRMzJvNAAAAAAAAAAAAG7Ff31Vv6QAAAAAAAAAAA5nAKs/ed+EAAAAAAAAAAAAAaj/qW0PZAWUQEgoRr+0DYZ9YvQOT0QAAAAAAAAAAAAIvgjtUH+UCPrzEFeg/3QAAAAAAAAAAAKIc90a7790DjPBDZymH5QDiMPhsvWflAPXYsMR6R+UAAAAAAAAAAAKbd3wlWD/ZAAAAAAAAAAACGg1YpCvL6QAAAAAAAAAAAbp/Wl1HL9EBOcKQ1zQT7QAAAAAAAAAAAEbVWl0ww9UC/LSVpBC76QFoUY+WdCftAoJF2UALX+0DIKOZMYh77QAAAAAAAAAAABzJmj3iK90D5fIXf8Xr1QAAAAAAAAAAAs5zoJakj9kBosdQ0MAP7QGDRvlduivVAAAAAAAAAAABYCvMSB/T6QA0ugbvXx/VAwHW/s7/y9kCsK/NtqZf5QJn6pq8X0/dAAAAAAAAAAAAAAAAAAAAAAAAAAAAAAAAAKINaesFn90B4MhDfRQD5QBKfr2iwX/dAWmB05Vrt+UAAUmtS24z1QB0H5GgH2vdA69YIpZTP9UBjdYz9W+H0QMxT5c4r6PhAgwQqz/o69UChGFnJwaj0QF/PJoVTm/dAnA29CHJY9EC4qqA3nO72QAAAAAAAAAAAAAAAAAAAAADFKC99jWf4QKJw++FShPdAoQo+abei90AAAAAAAAAAALmBfImVrfxAAAAAAAAAAAAAAAAAAAAAADm7tMrKpvxA8H1FTMDI+UBGdY9YIr38QAAAAAAAAAAAAAAAAAAAAAAAAAAAAAAAACEOUrepYf9ACqBRcc+m90AAAAAAAAAAACwi7iWrhPtA//PdjsjR+UAby734qCr2QAAAAAAAAAAANwrXb9ql+UAhZPLqAI33QGqJqa3SqvNAfC4Wd3nA+kAW09OJsDL6QFLL/KYqcPhAAAAAAAAAAAAAAAAAAAAAAK2CNLY5vvRAAAAAAAAAAAAAAAAAAAAAANaNIGDt1/dAAAAAAAAAAAC1VlouUZL2QAAAAAAAAAAABmwj0PG8/EBEUe8z5hL4QDJT6SivD/pA7ubfhxuK+UCS6fs3mpH/QAAAAAAAAAAAi5dtGfwP+0Dw1orqyHb3QN5myDb+afZAAAAAAAAAAABwPwkBbXj3QKneG9mlEPZA7kmKno6P90AAAAAAAAAAAKKGRTQas/5AAAAAAAAAAABwK8eKtfn6QAAAAAAAAAAADajlpafD+EAAAAAAAAAAAE6iImCWPPpApI4fX58g+EAAAAAAAAAAAIqMii+0bfdAF301AZId9kBj/NNAjoH5QAAAAAAAAAAAAAAAAAAAAABKNdR2p8f+QK5emKDUEPtATRXKI1UO9EAZmbvNhpz2QOmnOeA4S/ZAilqq13Gp+UBOWR+CGeT2QOwqZ0lhg/dAPvCMc0P+9UCgtOATSLX8QEKXcVVa9/lAAAAAAAAAAABOJIDsyCv6QCa88Tr7mP1AAAAAAAAAAACR+hBwAjj1QAAAAAAAAAAA4HtuFhTx/UDg+gdvR3X5QBVuJyC+qPtAAAAAAAAAAACewH/6OH/5QJKobgtLYPhAsArSNfBU/EAAAAAAAAAAABysbJKxZfhAAAAAAAAAAABmWKn1dOf8QJojsVRTtvhAPriEvpo+9EBW0ghxdvz4QAAAAAAAAAAA+malACT7/UDezjQPJa75QACU+2wDXPpAhIIjxlAW+UCpzmxA9JH3QMbUE8USu/1AAAAAAAAAAAAOBzLeD2X+QAAAAAAAAAAA59b4PigQ9UC1EIo8XyT4QAX9GwEjPvxAaJKbmOYL9UBCOciRDwj7QD5wbOGxIvhAvLmf3kE4+kAAAAAAAAAAANUNz33tS/pAbGqA4lxl9kCq3Gt5bAz3QAAAAAAAAAAAPj2WWmq1+0AAAAAAAAAAACuUxd2KIfdAZWb19Dc0+EBDcS5amZ77QJyCNSCplfpA5sPdnL9H+ECxBFGLC4P1QAtGznwZFPdAyZsPTz9+9kDaOCPCA0H6QAAAAAAAAAAAIjubYSlu+0DWJX27i8n2QEeV+i5bOvhA9mjqfBjU90AAAAAAAAAAAAAAAAAAAAAAQDvjbxQg90DuyxkzM1n4QB0h1Xkn9fZAYjJlItWy+kD8eCrp6Vf2QIQspuEI6vlAAAAAAAAAAAAAAAAAAAAAACQiIR+H5/pA/UDR30m/90BAmGsokKz3QBLKrlmN4/ZADjgnnBlB/EAAAAAAAAAAAOsmf2bi4/dAAAAAAAAAAAAAAAAAAAAAANAA4kYc3PpALlhOuszy9UAAixqTxrL4QJVk6I43FPpA+yeXS9gd80C3/Q2hp5X2QAAAAAAAAAAA+zRzKrb/+kABFXRdBkz1QD79qwP/ufxAhIc9Ftj6+EBwrGNNIZ31QCyV5y7RjPhAZLNXrYXR9kCqyuEGlgH4QO/vcJVR7vRAQch4iIEm90B7s/ao/f32QAAAAAAAAAAAhB38u+ta+UDYGejy3tr5QIDYLhtxCfVAuMAkXE1+9UDaybrbzeT0QI7F4PVQ+/tAHcr44Rz09EDA03xCd2H6QOJeGveg/vZAAAAAAAAAAAAAAAAAAAAAADT5/yV9y/1AcB8AAN7K+61oAAAAAwAAAAgAAAAXTW9kZWwgKFJhbmRvbSBTYW1wbGluZynoAwAA5wMAANMlHKeg/xJBAAAAAAAAAABc/lHFWnMRQcaUdJkRbRJBTubqk3BKD0GimEo9q18OQWuzuwry3xBB3VojPcPZEEF2H534vYQUQUaZ/7a7IRdBAAAAAAAAAABWCZ9INbQTQVyNwv8dTRBBm9ypMgkoEEHx8nOvEhQUQRO1nXctHBRBOq5njqZhD0FypMjyBkASQWbSIgOakA9BX6huC0z1EEHusofC5I0SQbZSfAclxBFBaAiL6ZJaFEHQtIXw4LoRQQAAAAAAAAAATrhlzmC3FEHrt0CbEDISQQAAAAAAAAAAl9WkhRJvEUGuX3ChTqAOQbzKr0NZDhFBynNxEgeoE0Ga9kV68PYRQQAAAAAAAAAAAAAAAAAAAAD+N/VYPlUWQQAAAAAAAAAAWNsCzPxNFEEAAAAAAAAAAJhjFmcJ6BFBmNg96xuVEUGyhg1+ssoVQRL6TfoDmBRBVhqAl2W1FEEAAAAAAAAAAAAAAAAAAAAAI5Xby5h+DUEAAAAAAAAAAMAaEw6x8BNBzPYBbuzqE0HlPP9iGtMKQQAAAAAAAAAA3kL1HX/2EEGero1pD8ASQa5SO4GiyBFB0L3bKiduDUHH2mH4bTQVQQAAAAAAAAAAAAAAAAAAAAAAAAAAAAAAAAAAAAAAAAAATdmfABgnDEHeZcPS+jURQQAAAAAAAAAAAAAAAAAAAADmNVPq5lURQT6p0ICsiw9BAAAAAAAAAAAfQPo9A+IRQQAAAAAAAAAAAAAAAAAAAABMIn+rzpgRQdwdPoxPshFBAAAAAAAAAAAAAAAAAAAAAEkP0GqmJBBBAAAAAAAAAAAAAAAAAAAAAAAAAAAAAAAAyxgrfmYQEkEAAAAAAAAAAN6osxKOQhVBAAAAAAAAAABwz3sut1UQQQAAAAAAAAAAAAAAAAAAAAAAAAAAAAAAAAAAAAAAAAAAgetyOvYEFEHEyAVFStIQQQAAAAAAAAAA+ynInrrHEkGllm/xvJMPQUFztej4sBNBaXI35aPLEkHgP9XTIhQTQVDfxuM8wwtBXPGz1W0YEUFoKf80GwYVQQAAAAAAAAAATVZ+Oo01EkEakJPJn1EUQezkdsriyBNBfEJv17rtEUFfpraoyYATQd4TCUwlvBVBAAAAAAAAAADwOvpAxVIUQamOiRbnogtBsIq57aCaDkFaKyrohtIRQaaC2kueVhFBzIZBZgu8EkExGPN24kUUQWAEObQqxhRBoLEg3c91EUEAAAAAAAAAAJjKAlpEfBFB+Ge+jb1mEUG0qy6/oE8SQRSNy8eOORRBRzW0nXTJDkGLLS9m6wYRQURUlXD/tw9BAAAAAAAAAABqw+0Y1YESQb50w1zP4xRBER+6Hd7aE0EAAAAAAAAAADowRfuNJxNBB5nuV4vaDkEAAAAAAAAAAAAAAAAAAAAAAAAAAAAAAADgU9sQOK8RQQAAAAAAAAAA+31ottAdE0EAAAAAAAAAAAAAAAAAAAAA3F8eUosiEUGBFn+FOSELQQAAAAAAAAAAWzZrcSviDkEAAAAAAAAAAFA7Vvxv3RNBLwGI/rNxEUGi/sPtItETQQAAAAAAAAAAuYtJJZiLFkEULP2mBYsRQQAAAAAAAAAAUJtfRlQ8FEEAAAAAAAAAAKImrseKjhNB8pnELzlAC0HjYexyT8ESQZBSNQM71hFBAAAAAAAAAAAAAAAAAAAAAD+bqbSupxFBHp0W9921D0E2+tu5GjMRQYoiH1tCWBFB8nswaCP7FUFyGeBB07gTQdVltaiqdhNBAAAAAAAAAAAAAAAAAAAAAAAAAAAAAAAAtv2NzvJ9FkEbyZ/8gy0RQfiO6xr9yxNB6KydOHtGFUEAAAAAAAAAALtzUawy7AxBAAAAAAAAAACQYQLIcDkTQYace8xCahBBHlwmsBiMEkEd2bUdsRMRQQAAAAAAAAAApNGjmcjnE0EAAAAAAAAAALhSXb5gbRVBAAAAAAAAAABq7He+KkIUQd9hSbIYuBFBIJQXbti5FUEAAAAAAAAAACaqtAIGDBBBtm3/v1DZEEEAAAAAAAAAAAiQ4xKpIBRBMjXkD8ViEEEAAAAAAAAAAGhP+z5UdA9B6IFUdDckDkEAAAAAAAAAAINX1GnFQQ9B6NHzSBiiEUEAAAAAAAAAAKLzpNfeKBNBlPvBxZVME0FAhWzHL8YMQen9l80dKhFBdkyRH8lEFkELm+YT3RwSQRgICh+LWRJBAAAAAAAAAADHZ6v2OJIRQUuXDiYG/BNBDtEAq5auFkEAAAAAAAAAADPGRb/6lBNBAAAAAAAAAACQWKIxIVETQbVqG6HhiBFBHpsNmStJDEEAAAAAAAAAAOjlspjFwRVBxeB0eBe6EkEAAAAAAAAAALYFTJlQoRVBrhnMSghaEEGEe8sk1K4VQaSoMlJfTRFBbDv+yp/RFkHcsy12dVQTQWmTk4S6ERNB1TcvO4jJEkH5r8IMfFQOQUOfuigrwxBB56DIt6UAF0FcUbSIydcWQdWSfyPg0g9B7mpKuo33D0EAAAAAAAAAACcOwEf+sBBBUQzXb5OsE0EwLBIg4P0RQf4vaLS0ew1BAAAAAAAAAAAAAAAAAAAAAJ6UQrTHWBBBYH0u/kVJEkHmrXqb518TQQAAAAAAAAAAvSdIOl2gFUESNAxvWm8WQQAAAAAAAAAAXsTQNdqIE0EFrlAeg24TQQAAAAAAAAAA2XFqD5l+FUEAAAAAAAAAAAAAAAAAAAAAAAAAAAAAAABmvs480w0UQQAAAAAAAAAAAAAAAAAAAAAAAAAAAAAAALV/ZU2VjRZBn2MYY5K6FEG2CipgqO8SQVSoG5Gm1BNBAAAAAAAAAADs9pWmIl4SQQAAAAAAAAAAAAAAAAAAAABd1LTzbAMRQfStQ+l6yRNBAAAAAAAAAACwwpHGc9QSQVfM2NpnSRVBUTn55DWxDkEAAAAAAAAAAAAAAAAAAAAA6Bi3y3ZoD0EAAAAAAAAAAOHFPe4h6BJBAAAAAAAAAAAYdVzIpZwWQW4aSt5RiBFBAAAAAAAAAABYLbicKdAUQcnm6cU7kxRBAAAAAAAAAAC3AFe7IV4TQVV37izvmhJBAAAAAAAAAADmkHzPzoIRQcjK8S/7NRNBAAAAAAAAAAB/U/8J77URQZ1HJiLyBxNBe3GoEEuQEEFIQaVEFQoLQVbVdKHHhAxBDJFkportFUEAAAAAAAAAAAAAAAAAAAAAKJU16jikFkG/g5RlVE4QQWpA+Hh4/RVBSrMfndlCEUEem96Zqr4UQfVRrD4aQxNBWqytkKSqFEEAAAAAAAAAACtJXUkT+BZBfWBqN3zAE0G7+7JMbd4QQd5N06XX5hVBAAAAAAAAAAAQch5BUDYOQQAAAAAAAAAANlqOwqfNEEFQmgi/RgUSQQAAAAAAAAAAyFlDwjr0EUEIg21zkR8QQV0SWWJYzxFBJ0BDYfECE0Fm3fHWVikUQToOYec1TxNBAAAAAAAAAACqPasUfwUTQSf/cEf8zg9BAAAAAAAAAACu5kjuW2kTQSJpodl39RJBrDnv/7GGEUEAAAAAAAAAAIaHskkLzhJB/tfm2Al4FEHN1l/6DDsSQT9cjll2zxBBy98BsYXuEEED+Bmj75ESQQAAAAAAAAAAfWmc8zVwEkHc5peklDsNQQAAAAAAAAAAAAAAAAAAAADyP4F1H+sKQRVAeSOG7BBBrHV+WkNOEUEAAAAAAAAAANFdHiNC4RNB2DNYA+1jE0EAAAAAAAAAAAAAAAAAAAAAQjq5V8A0F0EAAAAAAAAAACNGycv0MhBB2NOOYlQLDUEAAAAAAAAAAM4KDM9JRBJBAAAAAAAAAABWT3krZ/EQQRYkY3u+BxRBAAAAAAAAAABLJIEmkT4XQYSFwksoMBVBcMxWyUr+EEEW25W4Ml8SQUQOd7F0vhNBvwulCPjxD0Ht9lEPfyARQZ58m+m45xRBkPW0o6F3FUHMX8sTty8RQdhr3MODbBNB/fzcLWhuEkF2SO4liRsNQTgWEFhzlxJBu1y8VOTGFUFOu4QqBVIRQSrNY7Zx4xVBAAAAAAAAAADTNHeBjGISQQAAAAAAAAAAyjz1Gl4tEkF2ttFNURgSQadR1nFArA9BilQ2QGhuDkHhNiOISq0RQcxESDZJoRBBAAAAAAAAAAAS2YxaVqENQUT1Hp6eUgxBYZmnFqmME0H6b08gqLUSQT73rRQPbRVBAAAAAAAAAADg/+K2Z0oQQWRpkLx+Dg9BAAAAAAAAAAAAsscKeNERQQAAAAAAAAAAAAAAAAAAAABe4y/C1isTQf5Fvd4j+hNBuECESDhTEEEAAAAAAAAAAPajB6wEixVBuSip3BCbE0GkE2XacucTQdhg8woDOg5BAAAAAAAAAAB+W8Cd20QUQS0Hq9ORfxFBlLEUA1RLEUGeqZU7rHATQUw3d3LIVhNBAAAAAAAAAAAAAAAAAAAAAHRuw2yk7A1BDclDhL4eEUFkttxVdcMKQZxbXeFVXhBBAAAAAAAAAAAtJN4hYF0RQWIg10gZvA5Bc5TeVmOVDUGQ1nTlbUwWQZi9cPxcNxVBdhsxZIKeE0FUTWArZWoRQV6Pv5ZNBBRBcAAEOvRoDkEAAAAAAAAAAK4hyQqFQQ1BAAAAAAAAAAAZ689KCfsUQQAAAAAAAAAAo1C6szRLEkFWkyWoCUgSQXfvVkohyxJBAAAAAAAAAAALtunoavUNQYKslqTs9BRBWewNNhqvF0Fcum7D5fIRQU07pgk0xA5BUyqqVHCEEUEiYJI9OpoQQb8V9PZS5RFBMb+0IiQsD0EGNHzEkO0UQQAAAAAAAAAAAAAAAAAAAACmqEluZQIVQQAAAAAAAAAAAAAAAAAAAAAAAAAAAAAAAB1ywqNOKxJBekGKwZoEEEEAAAAAAAAAABdiaDw8yRBB94BkO6lmE0HM7BeFkvMVQURqLn2oqBBBT1kR1fQIFEGteV/D9foSQdrf1RECARBBf3hziey3EkG+4jdEPdUQQQAAAAAAAAAAAAAAAAAAAAA8tfOE5ZcOQYNN/nCxlRRBbJWHWbMbFkEAAAAAAAAAAAAAAAAAAAAAAAAAAAAAAABTLx/4cKgKQQAAAAAAAAAAfi+WuTOzEkEAAAAAAAAAAJN+xieeDRBBjhwbJl/HEUH1VRwj85IMQWQq0H4O1BFBDH9Dlt0tE0GwgZ3nzzsTQQAAAAAAAAAAAAAAAAAAAAC+lyzF7zQWQcLNV6ZKMxRByHCSFQ5yFUGeMw6RG24RQQAAAAAAAAAAYqTAxqygFEHy1W3/Cd0VQa6CZngEPhJBjwjOFJ9fFEEAAAAAAAAAAG8sKRDc+RJBAAAAAAAAAAAAAAAAAAAAAI7qIgf31xNBAAAAAAAAAADcFYwH5rQUQQAAAAAAAAAAOCPFwVx1EEGGnM1zTKUUQe7lpkpAehBBeoTXvINrEkHmRAAoNy4NQU8yOeIdORBBNOAckreiDEFiudxqCTsRQRI2r5QTRBNBJfUgSBWYEEH3fv7h1tISQQAAAAAAAAAA/6mPzjRqFkET+12tPMMSQQB65YI5aRJB7iT+N6CwFEFnUcyqpksTQQAAAAAAAAAALRhdRauDE0HVn2UA19wRQQAAAAAAAAAAAAAAAAAAAABknJRzC/QSQZNL6TjgnhJBS/jC4U/kEkGEz+jedUURQQAAAAAAAAAAr0xMX9sfEkGydSJrPokUQaLO2LJdBBNBsp0mkyK6EUHMGuf3888SQaE/J8uq9hJBI2FozWdGEkFKHtWTdDkWQQjgY+gU3hFBX2IZLWmoEkEGW7YKrXsVQQAAAAAAAAAAvLSj0K9bEUEAAAAAAAAAAJwArnNI2xFBAAAAAAAAAAAgUe7IIaMRQVKMFpE/qhFBdi2kyaT6EUEAAAAAAAAAALrMcA4pzBBB5IX1Oit9EkFSJ9Af6ugQQQAAAAAAAAAAAAAAAAAAAAAAAAAAAAAAADRWTFpnLxJBAAAAAAAAAAAAAAAAAAAAAL5/TZ3q/A5BtCbZlgTbC0EAAAAAAAAAAEVR40kWdBFBfLM2/cwkFUEAAAAAAAAAAAAAAAAAAAAAkm/KRwYxE0E/JY6h2LYTQfgasocA/RFBwuzhLQw9FEHQFXSSc9cSQTJ/gOBw/RJBAAAAAAAAAACPYHxJEikOQWR/sAD4yA9BKI9QXcHfFEEAAAAAAAAAAAAAAAAAAAAAAAAAAAAAAABU+YTdGRQSQc5sB/uLthNB4G1CVZbUFEGE/Lowf30TQSt9F8roMBJBsPqHy/LqD0EAAAAAAAAAALkzvqwFrhNBAAAAAAAAAACOitQ/vsUVQa57dynQnRRBBdH3Y4SlEEHwjpNKzusLQRWpZmJLcxJBHA4HMBOFEkEAAAAAAAAAAAAAAAAAAAAAAAAAAAAAAAAAAAAAAAAAAKr1DL2QoBFBAAAAAAAAAAAAAAAAAAAAAL/Qzhv8OxJBgNM8xeOYEEHCwt8+Q3YSQaVrmHItkQ1BdGihmtmnFUEAAAAAAAAAAIVPCsW40g1BAAAAAAAAAAAtlf0BOCcRQeaGht9uVg9BAAAAAAAAAAAAAAAAAAAAAAAAAAAAAAAAFAFrw4QIEUGDbi9sluYQQW5RZD+BpxBBEE2/UvQSEEE2R231uCwWQZKakQsY6Q5B3NIyheKmEkGiM6mfND4TQQAAAAAAAAAAk2XRvNz3EkE7Sz95oxwTQYY4iQ/TaAxBAAAAAAAAAACdXUrGCosTQZIDdK3H/hRBV7QmxJHkCUFoy1CB8LcQQWsOHKEeWxVBAAAAAAAAAADDS7776UsVQfDkxCW+RhFBAAAAAAAAAAAAAAAAAAAAANRYziL4RRNBqXLxIRh3EEGO3TKm4CwVQdsYjw9yFhRB+s8rJPsKE0FIa7ZBJHoWQf4kiMI/8hBBdPL9Tpt7EkEi3t/DRZsUQQAAAAAAAAAAAAAAAAAAAAAAAAAAAAAAAB7MAFCO+hBBRtRGGzUbEUEAAAAAAAAAAJb3d8FBhRBBAAAAAAAAAADeMyDTZEUPQQAAAAAAAAAAEYKvbTbxEUELmcsKf3wQQQAAAAAAAAAAbcm8r8YSEkFI6mCjBiQTQQAAAAAAAAAARI7vHyx9EUFcrS/c9KMUQfeP7CxDywxBFo65BJyxEUGJponNlroQQRR9ohTiCxZBvM+BkWinEUEAAAAAAAAAAHOPxEQjERFBc3TOP2NsFEEAAAAAAAAAAAAAAAAAAAAAB+W2TgmsC0EAAAAAAAAAAKwWSlTGJBRB63vgPJvTE0ED4Ys/JZYSQcZAxJIq0RBBrRYVupyDFkEHSPkXnD8QQQAAAAAAAAAAVl3SnLQ2D0EAAAAAAAAAAAAAAAAAAAAARJr82ctdE0HTp4OR4gcOQQAAAAAAAAAADJJ4DdNvEEFOtIjUKH0UQQAAAAAAAAAAsucbs8QwFEHs59kNESYVQVb9TS1u5hRBPfEl5wFlDUEcCT7dWJMRQdZdtPA8VhNBAAAAAAAAAAD0gHkydPkRQQAAAAAAAAAAAAAAAAAAAAAG66dygjEQQSc88BKX8A5BHBHJjwwYFkGUsJYMZcUPQQAAAAAAAAAAyn77V4KzEEF8bP+yEhgUQfhFqFF/GBNBAAAAAAAAAAAAAAAAAAAAAI9h9D8gMBNBHHFdDExRF0GEVpbUSW8UQQAAAAAAAAAA+nVDb6goEkGobJf4IuINQRMxRejYaRVBAAAAAAAAAADzFCg5RREWQeEG3H3FHBBBAAAAAAAAAAAGA2W9vGQRQZfRxbJJNxJBzJ4BWhqxDUFWi4gsVogOQTkgdvfkhhJBTU/2vGnOFEEuirhGNkoTQchYwBGMoBJBEuRU5iuEDUGTpGzesTMTQQAAAAAAAAAAvcl1y5DaEkH4u+algbcWQVpXwRiWERRBAGrPPoo9EEHes5E+VtYQQcx+oKXr8RRBIHQ79ym/DUF8waMSRh4UQfiDceWZ4w9BAAAAAAAAAAAAAAAAAAAAAAAAAAAAAAAACzagS81bDUHzc+g2e1wSQQAAAAAAAAAAPMmIhcx0EkHwb0246i8UQUS5Fn+oLBZBRPOvVWvQC0EeTvDEbJsPQepevAP++BRBAAAAAAAAAAChJngP0kkRQdB/KZL6yhZBAAAAAAAAAAB6i22NXs0TQZP2+HY1lBJBAAAAAAAAAAAEj4H123MPQQAAAAAAAAAAJne1DAqqFkEiQmNh7E0NQa1hGs4nYRFBnrTXRBwbDEFRqytPee0PQQAAAAAAAAAA3TCIVE34EEHmn8mEiMcQQQAAAAAAAAAA3Q7bF8laC0FUjzdL7XwXQZ5xX1GpWxVBf4x3RNsrEEFXZZ0n5f8QQQAAAAAAAAAAU9uIo6gaD0G8vv/MhD0RQQAAAAAAAAAAa7oYdRJ1F0HUrA/R/IETQQC5c0x+nhFBxnXvb+njEEFqtxp1OiIKQQAAAAAAAAAAjk68FZeDEEEWzOHHuJoVQf3/fn6IgBVB2m/q6ie/FkFy9aHfuwgTQVjcWOXGDBFBAAAAAAAAAAAAAAAAAAAAAOol7lJmohBBAAAAAAAAAAB0vD/MwvsUQQAAAAAAAAAAekvZPhXEFEFCpnfTaGMUQQb0deOHew9BAAAAAAAAAADYZHQj3XoMQZSiVNeqahNBxXQCy231DEGyUDv9wt4VQTU0zTqAQxFBAiQNWYhSEkEAAAAAAAAAAAAAAAAAAAAAAAAAAAAAAAD0Sx5o2mUSQcqeaVynYRNBkIpwyXDdFEGU98zdp90JQUokzOv54A9Bo6OzDcOKEEH8STIPUcUSQQAAAAAAAAAAtil6KzhjEUEAAAAAAAAAAHy7ctPsbwxBSub0fBitEkEf+zmk5GcTQVI9I7ta5g5B4verNPoHFkHnfRGQN3QUQQAAAAAAAAAAWtAsBdHPFUGj2aECBJ4QQQAAAAAAAAAAAAAAAAAAAABOwy8k2wkRQYSE22v9VxVBAAAAAAAAAACnhBqU9KcOQRgQtVnvTxBBVtWvTWdcD0G4v5MKt14VQTCKGIX1ORVB9PxHBViEEkEAAAAAAAAAAKVayM4kFhBB1EwSnc4KGEEAAAAAAAAAAAAAAAAAAAAAvAL2qaN0FUGgCfmCHt0QQS4Hg1L3qhBBdSMs3B7GDUEAAAAAAAAAAHg18ZH4KRFBOvRtbW+eFEGG0Ez3v1IWQYfgGIABOQxBVqr6VoOIEkEeqmTPeScSQWpjZhfp3xFBtOsAQUVzEEH4LA7+F3sTQQaS2yC4SBBBAAAAAAAAAAA6H4EtUUgTQZ2VTLNNjxRBAAAAAAAAAABb7T+G9Q4UQUL7uC97kRVB/GPdBukmD0Frh0xUP/wQQSuT/oDRgxVBOUYiBMXPDkEJZNVS50IWQQAAAAAAAAAAAAAAAAAAAADf6g+ZrloWQfwrRnFsGhVBVDkbNQFFDUEAAAAAAAAAAAAAAAAAAAAAo/KW8Bi4DkEhrmhOBBQVQZKyIE4ygw9BB1uCNDnFEUFI+5MrmFUSQZmdohjwgBBBKiciBVAQEEFEP6ZuxpUTQZ3tnpdOrxJBCbNxXX8rFEFAgMHa8vsPQWZBxwi0qQ1BAAAAAAAAAAAAAAAAAAAAAPDw/WODyxFBvnQsSjpIFEFmESHI0hIOQQAAAAAAAAAAtOrS+h8VE0HE6GFV+F8XQekJQRZ2aBBBIc/u5XWRE0EvcILSfgoSQX6gUABbLhBBRdb028EBEkELua9JZCISQaAMaEsHtRFBgVjwxRE7EEEAAAAAAAAAACk30KLvxRNBpxP8ByDaE0EAAAAAAAAAAPofNQIs1xFB8XKnCX+BEUEqQskIo8kRQUpISMaA4QxB2lfldTIND0EAAAAAAAAAAB6RoSnZqhNBImQxU/WqDEEAAAAAAAAAAAAAAAAAAAAAnOkvPoVrD0HsSxk2H44VQSHUWOG/XBBBr7H9FFbUD0E00KemEnwQQQAAAAAAAAAArImGafeJEkGoTpi3x7MSQY1HcGXgEwxBS8ViGdq8DUEfsubhIXEQQdsKN6/gQRJB5ms35JfqEEFUBs0b7PESQZR9z+iPkRBByQ+00mtiFEEte9GFhlIPQflbgBSJqhJBors/HvZXFEEa6KdR+WcUQXQqEWE8HRVB0RlabZqMEUH46eiYKhkSQQAAAAAAAAAAtNZaQTGvEEEAAAAAAAAAAEI9VG4uvRRBAAAAAAAAAAAwL1UOBL8RQfJlOU2HFw9BNjt9hnldFEGG1cRn/yETQdrwfA68uxNBqqKOQ4onFEFMzlHIdh4VQfDXLxjiLRFBaOI9kJPhDUH6LnAgI2UWQQAAAAAAAAAAAAAAAAAAAAAyYDjEYq0VQZHqxJv77hFBVab0/pJDEEEAAAAAAAAAAAAAAAAAAAAApB8f7RHiE0EAAAAAAAAAAJBVladopRVBAAAAAAAAAAAAAAAAAAAAAAAAAAAAAAAARCSOqbGSE0HHlyX+YIAQQfqXBXtkeA5Bcd7Ty0hWEkFb1CBL5ZISQeUi9Lt5FRFBAAAAAAAAAAAAAAAAAAAAAAAAAAAAAAAAeANrAlFLFEFISoGAe7wRQQAAAAAAAAAAAAAAAAAAAAAAAAAAAAAAAAFrtTSrJBFBeep+F/QGEkEAAAAAAAAAAAAAAAAAAAAAhL862X2fE0EAAAAAAAAAAOutkl5qCBJBeuKdvvW2EEFLboXKrrEQQQAAAAAAAAAAcB8AAN7K+61oAAAAAgAAAAgAAAAXTW9kZWwgKFJhbmRvbSBTYW1wbGluZynoAwAA5wMAALVv2ynJxyFBAAAAAAAAAAAAAAAAAAAAAAAAAAAAAAAAntbZw9i7IUEAAAAAAAAAAD0fvyXZFR1BORVrmlZ3EkHaBw4SRqEgQQAAAAAAAAAAAAAAAAAAAAArNlnDbkogQQAAAAAAAAAAAAAAAAAAAABMZ3lUESsWQQAAAAAAAAAAa4p613YVFUFKu+FLiBscQZrKPMuzyBZBAAAAAAAAAAAAAAAAAAAAAAAAAAAAAAAAAAAAAAAAAAAAAAAAAAAAAAAAAAAAAAAAVM2pHE60IkEAAAAAAAAAAO5g6YryEx1BPsvElgpzHUEAAAAAAAAAAMWxT6F4ABhBQAWUsiarGkEAAAAAAAAAAJigAE9U2h1Bm3JCr+XVHUEAAAAAAAAAAPjm+5eHbhRBJHUSD+SBFEEAAAAAAAAAAAAAAAAAAAAAs9FSaC05FEEAAAAAAAAAAD9Z4XDpmyFBFd8Ag7NgH0GqeNj0tgcWQQAAAAAAAAAAVsjUHbSgGkEyjqrdmVAeQZEAw5ihSx9BAAAAAAAAAAAc3qvMcu8YQW5fVgYA2SFBAAAAAAAAAADA7pA00mceQQAAAAAAAAAAAAAAAAAAAAAAAAAAAAAAAAAAAAAAAAAApnCf/Jg5H0EAAAAAAAAAANalj23N9R5BYMMtm7xEHUEAAAAAAAAAAAAAAAAAAAAAv1tT/b/NFUFVBpBJpNwbQXxcFcAN4BtBdklkP1O5GEEWIPML+ZUWQX3GpQUKnRpBaK7O0O0MHkGwo2HEIroSQQAAAAAAAAAAAAAAAAAAAAAAAAAAAAAAAJwG93pMUiBBAAAAAAAAAAAAAAAAAAAAAHojP14vzBVBAAAAAAAAAAAAAAAAAAAAAAAAAAAAAAAAAAAAAAAAAAAAAAAAAAAAAAAAAAAAAAAAE9Hos5OqIUGLsR5VLKkjQQLVEc57HyFBAAAAAAAAAAAAAAAAAAAAAAAAAAAAAAAA7CT1Xg+HIEEAAAAAAAAAAKFJDgFcEyBBAAAAAAAAAAAAAAAAAAAAAAAAAAAAAAAAAAAAAAAAAACeYoIURBkhQfImjOHTnh1BhFHzmwyPIkFSX8cGHvkhQQAAAAAAAAAAjv9sV/cnIUFEnUZ/wrUcQQAAAAAAAAAAAAAAAAAAAABem3MktGghQfQTQcQlkRpB0T9d074YG0GiTAIYJBwbQQOsjDKxZiJBAAAAAAAAAAC0VrEJmjUVQcdUZuxJUxlBDH/vTNO7GkEAAAAAAAAAANnSxUrkwBlBAAAAAAAAAAAHPyM0R5oZQQAAAAAAAAAAAAAAAAAAAAAAAAAAAAAAAMrz/l8Vrh5BoLSv+GwCG0G5BaILsBcYQVpHVKO8dx1BAAAAAAAAAAAAAAAAAAAAAKXHZF6JTxRBAAAAAAAAAAAAAAAAAAAAAAAAAAAAAAAAAAAAAAAAAACXtrpa/IYjQQAAAAAAAAAABnzRE/9pHEE4+sLXx6AWQYJbuxVsrhlBAAAAAAAAAAAd1BijbhMXQcmo27FldCBBAAAAAAAAAAAGW4JVjBYdQQAAAAAAAAAAAAAAAAAAAAAAAAAAAAAAAAAAAAAAAAAAAAAAAAAAAAD69GWUFpghQQAAAAAAAAAAAAAAAAAAAAAAAAAAAAAAAAAAAAAAAAAAUHSZUwuVFUEAAAAAAAAAAK+Zz3PP9BFBkLyeNRyOEkFCczJETjohQQAAAAAAAAAAAAAAAAAAAAAAAAAAAAAAAAAAAAAAAAAAAAAAAAAAAAAAAAAAAAAAAAAAAAAAAAAAAAAAAAAAAAAAAAAAAAAAAAAAAAAAAAAAAAAAAAAAAAD5f8XWBi4WQSd95apYnhNBAAAAAAAAAAAAAAAAAAAAANzMfhF0yBZBXBLnrSbmF0EAAAAAAAAAAAAAAAAAAAAAAAAAAAAAAAAAAAAAAAAAAAAAAAAAAAAAAAAAAAAAAAAAAAAAAAAAAAAAAAAAAAAAEN4SjvsWIEGa+txL7tUWQQAAAAAAAAAAAAAAAAAAAAAAAAAAAAAAAP3akANW+xlBeCZluvtaIkGezN5ds64YQQAAAAAAAAAAfX6oa1WkHEEAAAAAAAAAAAAAAAAAAAAAHg1SFBdAF0EAAAAAAAAAAObDenKETyBBtuSIcefnHUEAAAAAAAAAAAAAAAAAAAAAzlWElMFiIUEAAAAAAAAAADoqPvtkViRB0MNdhJzxFUEAAAAAAAAAAAAAAAAAAAAAv2g42B2qIUEAAAAAAAAAAM7FFFm+kCBBUqSPvgV3GEEmPJ/X9Q4bQQAAAAAAAAAATktAiKctH0FwJHumaq8UQQAAAAAAAAAAAAAAAAAAAABsMlFi0bgXQdJUmWeVPCJBAAAAAAAAAABiyw72XgIXQQAAAAAAAAAAAAAAAAAAAAAAAAAAAAAAADR82tzlPSNBJluZMXlVIUEAAAAAAAAAAAAAAAAAAAAAAAAAAAAAAAAmBk5ub9EiQQAAAAAAAAAAAAAAAAAAAAAAAAAAAAAAAAAAAAAAAAAAQ1GjOqKVHUHKVxdHRdMaQQAAAAAAAAAA0TZNpeATHkEhVbvO5b0hQRyk5PGMVCJBAAAAAAAAAAAAAAAAAAAAAAAAAAAAAAAAMrjM+uJXGUEAAAAAAAAAAAAAAAAAAAAAa9FB6sPGE0EAAAAAAAAAAOmqLT8ZpCNBAAAAAAAAAACyffrhKx4iQQJoqoxvLiNBAAAAAAAAAAAAAAAAAAAAANFUyGlX9xxB6uDvfITQGUFJW02FiEMgQQxEr7Nb/xlB9q8nGW4VH0EAAAAAAAAAAFrV3Y5xXBpBavn8vyL/IEEAAAAAAAAAAKbD83qpXCBBAAAAAAAAAAAAAAAAAAAAAAAAAAAAAAAAAAAAAAAAAAAe+rwv630ZQQAAAAAAAAAAAAAAAAAAAACwNjMUqmEjQWYPF/a3NSRBAAAAAAAAAABSNVn0VX4bQRgmg92qNBtBTgKDx4UDG0EAAAAAAAAAAAAAAAAAAAAAyG8Kz7zBI0EAAAAAAAAAAAAAAAAAAAAAIoJXg4YhF0Emb1JZ+4cXQQAAAAAAAAAAAAAAAAAAAAAAAAAAAAAAAAAAAAAAAAAAAAAAAAAAAACgY0vbb+4jQQAAAAAAAAAA2pKZfUgfFEGKWgWOIFoaQQyba5m2hiBBAAAAAAAAAAAAAAAAAAAAALx7bhxD/CBBAAAAAAAAAABW6iTb2jQhQQAAAAAAAAAAcQGjzUATIEEAAAAAAAAAAAAAAAAAAAAAoRJAhU8RGUEAAAAAAAAAAAAAAAAAAAAAqg3xdnmUFUEAAAAAAAAAAAAAAAAAAAAAgq5CCdP+F0EAAAAAAAAAAIAkzhOBQhpB66ttwRgvHUEAAAAAAAAAAAAAAAAAAAAAAAAAAAAAAAAAAAAAAAAAAI0DMSIa/xdB/hWZ7TLSGUEAAAAAAAAAAKJ1mw2ptCFBAAAAAAAAAAAAAAAAAAAAAAAAAAAAAAAAeOkbNj/fEUEAAAAAAAAAAAAAAAAAAAAAxPs4LBmvIkEuuYksaJQTQRFmirBDwyVBAAAAAAAAAAAAAAAAAAAAAAAAAAAAAAAAAAAAAAAAAAAAAAAAAAAAAAAAAAAAAAAAjF+SK7lrIUEAAAAAAAAAAOCfkL390yNBhUY8c8MMGUEAAAAAAAAAAKTufSpuQiJBAAAAAAAAAAD02/w6bckhQWS9owa1sBhBTA57q9NdH0EAAAAAAAAAABS78hf9NiJBAAAAAAAAAAAAAAAAAAAAAAAAAAAAAAAAAAAAAAAAAACYExDLSoAbQQrA0jwwbyFBDIa/nfjwIEEAAAAAAAAAAAAAAAAAAAAAQsMOJqCTGEEAAAAAAAAAAAAAAAAAAAAAAAAAAAAAAABDEflnEb8dQYRgwrJUtRxByV6wSXkRGUGXYe7bTvsaQQAAAAAAAAAAAAAAAAAAAACe3YkC+o4dQQAAAAAAAAAA/XcKRRx/JEEAAAAAAAAAAAAAAAAAAAAAAAAAAAAAAAA6YdO4VVkfQQAAAAAAAAAAAAAAAAAAAACPvBl1zh8UQQAAAAAAAAAAxGWX+xW9HkEAAAAAAAAAANk9AthqlBVBvhMnncmMIEFh3tZtOxMfQQAAAAAAAAAAOx0JLQHPHkGQvQjOrTUUQQAAAAAAAAAAAAAAAAAAAADnxbFpbrciQQAAAAAAAAAAjMd1Xw8cF0EAAAAAAAAAAAAAAAAAAAAAsinylvmyG0EAAAAAAAAAABxiUQ2pAR5BFrSTTk42IkEAAAAAAAAAAAAAAAAAAAAAtGM7D2C1GkEUK+Td/i0cQQAAAAAAAAAAAAAAAAAAAAAsSoM0JrYjQQAAAAAAAAAAAAAAAAAAAAAAAAAAAAAAAAAAAAAAAAAAAAAAAAAAAAA70mQYTM4ZQQAAAAAAAAAAAAAAAAAAAACwn0h0bHokQQAAAAAAAAAA/ns6Ri8jGEEAAAAAAAAAAAAAAAAAAAAAiFFIteh0EkEAAAAAAAAAAAAAAAAAAAAAAAAAAAAAAAB8Yw/u+q8aQQAAAAAAAAAAAAAAAAAAAAAAAAAAAAAAAIXkzuZogxVBSPzvxu4/G0HQkb4U/U4bQVX+jMmiQyBBAAAAAAAAAAAMuQnNAxAWQQAAAAAAAAAAng5462RzI0GkETkzpN4WQabaD6p5xiBBMsD9+5H6HkEAAAAAAAAAAAAAAAAAAAAAbFgNh8mSGEEAAAAAAAAAANdQcvSMZx5BAAAAAAAAAABCytaDIE0SQQAAAAAAAAAAPQmOvuTAJEEAAAAAAAAAAEDJ3uDttx9BAAAAAAAAAACmsD/KFksiQQAAAAAAAAAAAAAAAAAAAAAcK81UQXcYQQAAAAAAAAAAZHRLbM/BI0EAAAAAAAAAANWmZQEaqRlB3ae0XNeFEUGXKu/Bkw8kQQAAAAAAAAAAAAAAAAAAAAAAAAAAAAAAAAjj7EDIihxBMlKRTWNhE0EAAAAAAAAAAGVfURV8khVBxOCMqfw8GEEAAAAAAAAAAAAAAAAAAAAAuIxqNaSwG0Fsr4Pbt0UYQQAAAAAAAAAAWlTUm4ShGkEAAAAAAAAAAAAAAAAAAAAAAAAAAAAAAAB7xsyxwQghQQAAAAAAAAAAN+Zv2++CHUEAAAAAAAAAAAAAAAAAAAAAhX6mS778G0HK0d6bRoMXQQAAAAAAAAAAkrp57Xr+IEEAAAAAAAAAAMShOI+4LhZBAN+PoWNDF0EerLcXOoAhQTfy+K/ONyJB9u19cuRhG0HofSopNrcfQQAAAAAAAAAAAAAAAAAAAAAAAAAAAAAAAKhTQG8SNxxBAAAAAAAAAAAAAAAAAAAAAAAAAAAAAAAAAAAAAAAAAACTRNefFY4dQWDdVVF4+iBBV93PmlIpFkGQr27GvZwUQUci9u0vUx1BAAAAAAAAAAAAAAAAAAAAAAAAAAAAAAAAAAAAAAAAAADEYmafNC4WQVvqXKvzmhtBAAAAAAAAAADwGMuq3Z0aQY7ZyuEj/RlBaix+F5xQGEHxxxZl1gscQctpcn5FcyFBAAAAAAAAAAAAAAAAAAAAADAD+27n7BNBAAAAAAAAAAAAAAAAAAAAAOsxhM4sZyNBAAAAAAAAAAA8IUN9j24bQdT8vxhTiyFBqO9zg1YnFUEAAAAAAAAAAHjojNf+RhxB/IroagLPIUHa7v8DVDYaQTIzcRV+AxtBAAAAAAAAAAAAAAAAAAAAANXcF5QL0yBBAAAAAAAAAAAAAAAAAAAAAAAAAAAAAAAA+E/2L0qJGEEAAAAAAAAAAAAAAAAAAAAAuliC+h/5HEEAAAAAAAAAAAAAAAAAAAAAAAAAAAAAAADiW1M+HsMeQQAAAAAAAAAAAAAAAAAAAAAAAAAAAAAAAA8rg7dS6xlBqJM37v+nGkExtdaIcHMXQXB/4QX6NyBBAAAAAAAAAAAk8FDsX7gaQQAAAAAAAAAAAAAAAAAAAAASDbN7z3sgQQAAAAAAAAAAAAAAAAAAAAAAAAAAAAAAAAAAAAAAAAAAAAAAAAAAAADsw+39QSMcQQAAAAAAAAAAAAAAAAAAAAAAAAAAAAAAAOJICIPMhBpB0AEazTXsGUEAAAAAAAAAAMl0VKHZLhVBAAAAAAAAAAAAAAAAAAAAAN3n9DE6LhZBAAAAAAAAAAC8mkORQ+cTQQAAAAAAAAAAAAAAAAAAAAAn7kem1iATQYunWlGGgBVBAAAAAAAAAADaj2zflq4WQQ4TPvJ6VyRBAAAAAAAAAACnCZqem2AeQQaLwnYwRh1BsKc6Ht1RGkEAAAAAAAAAAAAAAAAAAAAAAAAAAAAAAAAAAAAAAAAAAF5CbyT1jCBBI8qr1HCoFkEAAAAAAAAAAAAAAAAAAAAA4AH4zIuGGEEAAAAAAAAAABktpWnelSFBAAAAAAAAAACF9iZvnDsYQQAAAAAAAAAAi6STWxbPIUEAAAAAAAAAANYkyZH5tR5BAAAAAAAAAAD3OnHDA1UgQeyL0b0WRSFBKJ874aFZE0EAAAAAAAAAAAAAAAAAAAAAJCX1pAlJIkHUz0wcAlUYQQAAAAAAAAAAAAAAAAAAAABljwMFtvsTQQAAAAAAAAAAAG/djwR1GUEAAAAAAAAAAAAAAAAAAAAAAAAAAAAAAABgCBEcE3EhQQTpxoh0cSFBDqV9KkWVIEEAAAAAAAAAAAAAAAAAAAAAAAAAAAAAAACcJ7wlGD0ZQQAAAAAAAAAAzki/FVyGIUEKeNFkcWofQTKbD1874SFBD98TRSuVHkEAAAAAAAAAABslCGHbMR1BLm8x6L91HkEAAAAAAAAAAPpgL6rGTyFByI42QRPSHUFJKiNovNAhQQAAAAAAAAAAsUXM2V+6I0FY5l8SnUYZQQAAAAAAAAAAAAAAAAAAAACODT5MnBEZQQAAAAAAAAAA6rOm/ZwrHEEAAAAAAAAAAAAAAAAAAAAAAAAAAAAAAAAoa1NhRD8cQWPG9lhxYRRBTG1KyD/8I0Gq9YGvnCAZQQAAAAAAAAAAFK0t9691IUEAAAAAAAAAAK/NXxJZfx9BqiwnQapnHUHE6B5Ko3keQQAAAAAAAAAAAAAAAAAAAACw918sDEwaQYVMqVY8IiBBCC5eHS/eGkEAAAAAAAAAAAAAAAAAAAAAAAAAAAAAAAAAAAAAAAAAALht2ftxMhlBAAAAAAAAAAAQKyBK+KohQQAAAAAAAAAAoCilcX9MHUHgFOEs7/ofQQAAAAAAAAAAGZ9bgzSpEkEAAAAAAAAAAAAAAAAAAAAAvsQDLSTqJUEAAAAAAAAAAHH4wIdE5BdBAAAAAAAAAABig/jFvxMWQfDrSRU/7BtBBOLlsKw+HEEAAAAAAAAAAAjDWgDHxiFB8N/bZL3WH0FIIReBFTYSQfJr7ItwaBtBQN8ozpCfFEEAAAAAAAAAAAAAAAAAAAAAAAAAAAAAAACM1YrYHSYmQQAAAAAAAAAAAAAAAAAAAAAxBrEfkVAcQQAAAAAAAAAAg5jkkcLsGkGoRxk0e+kgQQAAAAAAAAAAAAAAAAAAAABmKkzL5focQWaIw1dGCxxBljJ6pQRrGkGGDwYEtDIfQXKtA9CSchhBAAAAAAAAAABagOLEG70eQQAAAAAAAAAA7mj8q+k1GkEAAAAAAAAAAJxWAlpGtBxBdEPoyPiuIEGGVOwFJ+4jQQAAAAAAAAAAAAAAAAAAAAA+CxLCDj4SQQAAAAAAAAAA9gHgZVi8IUEAAAAAAAAAAAAAAAAAAAAAAAAAAAAAAAC8Wtk4x6MgQV7Ve28bPx1BpekbDoHUHEEAAAAAAAAAAAAAAAAAAAAAOAZ5/XKkHUFWL1GKZRUaQYg2KvmrShNBdMc5JitxHkEAAAAAAAAAAAAAAAAAAAAAAAAAAAAAAAB1vIU3vkQXQQAAAAAAAAAA0AVnvs2EH0EAAAAAAAAAAD/mzKu6dBdBAAAAAAAAAAAEmpDaibwZQQAAAAAAAAAAAAAAAAAAAACIPCbe5lQaQQAAAAAAAAAAw0Z4hTrhFEEAAAAAAAAAAEYz4m/gTRRBeqtydCjFGUH6n4Sm+ckgQQAAAAAAAAAAAAAAAAAAAAAAAAAAAAAAAAAAAAAAAAAAAAAAAAAAAAAAAAAAAAAAANL6rpfe9hZBAAAAAAAAAAAAAAAAAAAAAKbMr/WZJCNBAAAAAAAAAACM9k9QSTYcQZ+JK1Hdbh1BGBLkH3i8HUGvu7hALOYYQeamj8oSVB9B2A3oOJODGkEAAAAAAAAAAAAAAAAAAAAATy3S0eSCFEFiSvBBN/EgQbeBvVJsjBRBudYnzn2pFkFpseqCZBogQequLNl4TBpBAAAAAAAAAABgVWU0838hQfrM0SGOMyFBN+YAvu0gGEEAAAAAAAAAAJrKTtV01iJBnourTA1iHUEAAAAAAAAAAEBDnxhhmBpBAAAAAAAAAAAAAAAAAAAAALg1yr2XqB1BAAAAAAAAAABaSy02oD0SQQAAAAAAAAAAAAAAAAAAAAAAAAAAAAAAAAAAAAAAAAAAAAAAAAAAAAAAAAAAAAAAAEpqQiH1JBdBAAAAAAAAAAAAAAAAAAAAADMr1MMEhiNBAAAAAAAAAACGuL7ar4MTQVEyGune5R5BAAAAAAAAAAAAAAAAAAAAAHl3Qxxu1BlBAAAAAAAAAADwdCuW4fYaQRTzwCUZliBBXHOxkjZJGEEAAAAAAAAAAA6y9ejdpiBBma5HG6n9EkEAAAAAAAAAABqfLWOZGRhBVmc90xP4IUFKqdq5+2YkQQAAAAAAAAAAAAAAAAAAAACej2TjbaUYQcw8Ebz7UCBBl7w+HSfXI0EFg8G6fyAcQXxlbaB7WBlBAAAAAAAAAACql1zsqLwUQWk8XdxiyiBBAAAAAAAAAABAuPGdgQAhQeBEDGpwrxpBAAAAAAAAAAAAAAAAAAAAAAAAAAAAAAAAmuOzXQlLH0GxkxOVZngZQZQ+XIcNlRVBAAAAAAAAAAAAAAAAAAAAAL8TegaIOR1BAAAAAAAAAAA2mxXfcaEYQQAAAAAAAAAAAAAAAAAAAAAu8UCzXDobQShC1CFBxBdBegIqd+myIEEAAAAAAAAAAAAAAAAAAAAA2Du9vd/qIEFptUA9apYgQQAAAAAAAAAAAAAAAAAAAADHN4VG0CgfQQAAAAAAAAAAAAAAAAAAAAAAAAAAAAAAAEKdteHhsRxBAAAAAAAAAABA9kkb86IkQQAAAAAAAAAAAAAAAAAAAAAqi1KdOIEcQRm60aM9YxdB8uZtj8/7F0HT+8y//+wZQSZUR0vmfSBBPCAyjv+fE0EAAAAAAAAAAAAAAAAAAAAAFP97TfqTFkEAAAAAAAAAAFnJrjMveCJBY8UPscD0IEEAAAAAAAAAAAAAAAAAAAAAAAAAAAAAAAAAAAAAAAAAAGws0N2cqB5BAAAAAAAAAAAAAAAAAAAAAE8M4axKcRlBAAAAAAAAAAA1VWPznvgYQY4uktMl1iFBAAAAAAAAAABewfIlgIUcQSw/7S5kZSBBqCVN4nIkGkH7JNH2T6IdQQAAAAAAAAAAg1OToLAjGUGM+7uJIyYdQQg6vFQ+rxRBAAAAAAAAAAAswIvlthcVQRrziLMEHxxBAAAAAAAAAAAWMYlMcQsbQWxHBTrT+h9BjpAr50HlH0EAAAAAAAAAAKrR4Zwb0BtBJl+vq5mwIEGqmVLNtV0UQQAAAAAAAAAAk3gyACVVG0H8YP3sApoUQQAAAAAAAAAAAAAAAAAAAAAAAAAAAAAAABLAdLjQWBVBAAAAAAAAAAAAAAAAAAAAAAAAAAAAAAAAAAAAAAAAAAAAAAAAAAAAAAAAAAAAAAAAAAAAAAAAAAAAAAAAAAAAAMaWdzLCxxlB5Psk5CuFF0EAAAAAAAAAAAAAAAAAAAAAiIlMLNnMJEEAAAAAAAAAABAY6j5F+hhBGtE7set2I0EAAAAAAAAAAAAAAAAAAAAAOiggPe2UIUEAAAAAAAAAAAAAAAAAAAAABFljjcpfG0EAAAAAAAAAACDJypKAtSBBAAAAAAAAAAAAAAAAAAAAAAAAAAAAAAAAAAAAAAAAAAAAAAAAAAAAAJjox7wB+RdBaLTEiQ/xE0ERaKuaoosgQXJQfzb22RpBAAAAAAAAAACsTMr3rdwjQWipBjVknRtBAAAAAAAAAAAdIRLgOrwSQZAT29JuJSJBfI14NbclHkHqLzBTxVYjQd4Bh5R1GSFBAAAAAAAAAADgfqxgCaIeQXS4KGCejxVBAAAAAAAAAAAAAAAAAAAAAAAAAAAAAAAAAAAAAAAAAAA8Zk/7nFwlQQAAAAAAAAAA9DI8pvRoIUEwxdKm/VkaQQAAAAAAAAAAiEsr+lwzJEGu1CGximUfQWohnTG0GyFBAAAAAAAAAAAIPd/3t+4gQQAAAAAAAAAAy8hBRCAfH0EyZgPJOlshQe3g1pwbAhlBNxAeG3BaHUEAAAAAAAAAAAAAAAAAAAAAAAAAAAAAAAAuX9oHf9sZQXEXMzMWoRVBTkZUbam1GEGmadnRIqUiQQAAAAAAAAAAhB8znX+/HkEAAAAAAAAAAAAAAAAAAAAAAAAAAAAAAACk4bxUmr8fQQAAAAAAAAAAADqAwoZRIUHRVhAja+AgQQAAAAAAAAAA6uEz1jdMHkEAAAAAAAAAALxfIWFL8RxBAAAAAAAAAAAAAAAAAAAAAAAAAAAAAAAAcB8AAN7K+61oAAAAAgAAABIAAAAXTW9kZWwgKFJhbmRvbSBTYW1wbGluZynoAwAA5wMAAAAAAAAAAAAAnArHwKRdDUEAAAAAAAAAAAAAAAAAAAAAAAAAAAAAAAAAAAAAAAAAAAAAAAAAAAAAAAAAAAAAAAAAAAAAAAAAAAAAAAAAAAAAAAAAAAAAAAAAAAAAAAAAALovwHp83ANBAAAAAAAAAADpY+3mJh8IQWrg8eBsFwxBAAAAAAAAAAAAAAAAAAAAAAAAAAAAAAAATv3C7BoxEkEAAAAAAAAAAAAAAAAAAAAAAAAAAAAAAAAAAAAAAAAAAJO8dtH9yRFBAAAAAAAAAAAAAAAAAAAAAAAAAAAAAAAAAAAAAAAAAAApqgKgWsMBQQAAAAAAAAAAAAAAAAAAAAAAAAAAAAAAAAAAAAAAAAAA0L9P/EtrDUEAAAAAAAAAAAAAAAAAAAAAAAAAAAAAAADmLH4Hm0URQYQedARFIPxAAAAAAAAAAAAAAAAAAAAAAAAAAAAAAAAAAAAAAAAAAAAAAAAAAAAAADy7D8bP5BNBAAAAAAAAAAAMLDHjZ2oFQQAAAAAAAAAAAAAAAAAAAABaPROYR1ARQQAAAAAAAAAAAAAAAAAAAAAAAAAAAAAAABiLAYD4MQhBAAAAAAAAAAAAAAAAAAAAACwnwcd/+gNBVbIODW6xCkEAAAAAAAAAAAAAAAAAAAAAAAAAAAAAAAAAAAAAAAAAAFVv3I0YVAFBAAAAAAAAAAAAAAAAAAAAAKY6HabFPPxAAAAAAAAAAAAAAAAAAAAAAAAAAAAAAAAAAAAAAAAAAAAAAAAAAAAAAAAAAAAAAAAAAAAAAAAAAACAR1oqXRYLQQAAAAAAAAAAAAAAAAAAAADSwbUZuYkLQZj8RY7hRgNBAAAAAAAAAAAAAAAAAAAAAAAAAAAAAAAAALvErYdABUEAAAAAAAAAAAAAAAAAAAAAAAAAAAAAAAAAAAAAAAAAAAAAAAAAAAAAAAAAAAAAAACocxtQumgQQePkmXww3AZBAAAAAAAAAADt17LJ5HwMQaIE9ogipQ5BAAAAAAAAAABgc3f23iIQQQAAAAAAAAAAAAAAAAAAAAAAAAAAAAAAAAAAAAAAAAAAAAAAAAAAAAAAAAAAAAAAAAAAAAAAAAAAAAAAAAAAAAAAAAAAAAAAAAAAAAAAAAAAAAAAAAAAAAAAAAAAAAAAAAAAAAAAAAAAAAAAAAAAAAAAAAAAAAAAAAAAAAAAAAAAAAAAAAAAAACl0mT1DiwTQQAAAAAAAAAAAAAAAAAAAAAAAAAAAAAAAAAAAAAAAAAAb1VLP3HmBUEAAAAAAAAAAJH1Xbej5AdBOEAG+H/ZC0EAAAAAAAAAAFDFk4EzXRFBAAAAAAAAAAAAAAAAAAAAAAAAAAAAAAAAAAAAAAAAAAAAAAAAAAAAABi6fe5+Ig5BAAAAAAAAAAAAAAAAAAAAAAAAAAAAAAAAIze2OlHJD0EAAAAAAAAAAAAAAAAAAAAApJGBaj/dDEEAAAAAAAAAAAAAAAAAAAAAAAAAAAAAAAAAAAAAAAAAAG3kpLvt8QJBp79qDBPOAEEAAAAAAAAAAARSR9eZQgVBAAAAAAAAAACx7xeONkYRQQAAAAAAAAAAU/FjAvOuDUEAAAAAAAAAAF53I+gndQdBAAAAAAAAAAAAAAAAAAAAAAAAAAAAAAAAAAAAAAAAAAANaGzCYWsMQQAAAAAAAAAA4lx94Wz6CUEAAAAAAAAAAAAAAAAAAAAAAAAAAAAAAAAAAAAAAAAAAAAAAAAAAAAABniHIBn9AEEAAAAAAAAAAAAAAAAAAAAAAAAAAAAAAAAAAAAAAAAAAAAAAAAAAAAAMTe1IIKIEUFuVjSjUGYKQQAAAAAAAAAAAAAAAAAAAAAAAAAAAAAAAAAAAAAAAAAAAAAAAAAAAADE6df1YwsOQbSuoFXObQhBAAAAAAAAAAAAAAAAAAAAAAAAAAAAAAAAOL7d5iiXEEEAAAAAAAAAANoFGinLUghBKCfo/CUCB0GOBYyRr2EGQarq0Tp9qglBAAAAAAAAAAAAAAAAAAAAAB3CSV1BQgxBAAAAAAAAAAALJQ8TSbUMQfD5XhENrAVBAAAAAAAAAAAAAAAAAAAAACTkg9eDAQZBAAAAAAAAAABSIyaNvzwSQQAAAAAAAAAAAAAAAAAAAAAAAAAAAAAAAAAAAAAAAAAAAAAAAAAAAAAAAAAAAAAAAAAAAAAAAAAAMaNKHcUyBEGeKexNE0ENQQAAAAAAAAAAAAAAAAAAAABQJJ3gj30SQQAAAAAAAAAAqs79M+quBEEAAAAAAAAAAAAAAAAAAAAAAAAAAAAAAADOjstMxu8IQQAAAAAAAAAAAAAAAAAAAAAAAAAAAAAAAAAAAAAAAAAAAAAAAAAAAABqplBXl2EQQQAAAAAAAAAAAAAAAAAAAABONvNWZEsHQQAAAAAAAAAAAAAAAAAAAAAAAAAAAAAAAMsP2sS8SwxBAAAAAAAAAAAAAAAAAAAAAHr+LuvkmAFBAAAAAAAAAAAAAAAAAAAAAAAAAAAAAAAAikVpbAAmBUEAAAAAAAAAAAAAAAAAAAAAAAAAAAAAAAD8ll0kh2gMQQAAAAAAAAAA5MW894rVA0EAAAAAAAAAAAAAAAAAAAAAAAAAAAAAAAAAAAAAAAAAALmcOUuuKBNBCgCH5fDREkFG1Ewnuu8KQQAAAAAAAAAAAAAAAAAAAAAAAAAAAAAAAAAAAAAAAAAAAAAAAAAAAAAAAAAAAAAAAAAAAAAAAAAA9l9yDVCjD0EAAAAAAAAAAAAAAAAAAAAAAAAAAAAAAAAAAAAAAAAAAAAAAAAAAAAAAAAAAAAAAAAAAAAAAAAAAAAAAAAAAAAAAAAAAAAAAAAAAAAAAAAAAAAAAAAAAAAAAAAAAAAAAADW9AEtekcQQQAAAAAAAAAAAAAAAAAAAAAAAAAAAAAAAAAAAAAAAAAAAAAAAAAAAAAAAAAAAAAAAAAAAAAAAAAAAAAAAAAAAAAnJy7MTif8QAAAAAAAAAAAAAAAAAAAAAARIoEN+8APQeK10DpKJghB/IA8++CIDkHzButWH00MQQAAAAAAAAAAAAAAAAAAAAAAAAAAAAAAAAAAAAAAAAAAAAAAAAAAAAAAAAAAAAAAAAAAAAAAAAAAPESXhtxTCEEAAAAAAAAAAAAAAAAAAAAAAAAAAAAAAAD4auTBL94FQQAAAAAAAAAAAAAAAAAAAAAAAAAAAAAAAAAAAAAAAAAAAAAAAAAAAAAAAAAAAAAAAAAAAAAAAAAAAAAAAAAAAAAYdtyff+UDQQAAAAAAAAAAAAAAAAAAAAAAAAAAAAAAAAAAAAAAAAAAMrFrkDvHB0EAAAAAAAAAAAAAAAAAAAAAAAAAAAAAAAAAAAAAAAAAAAAAAAAAAAAAAAAAAAAAAAADU2rgjzQSQQAAAAAAAAAAAAAAAAAAAAAAAAAAAAAAAAAAAAAAAAAAAAAAAAAAAAAAAAAAAAAAAErUhvyN6gdBAAAAAAAAAAAAAAAAAAAAAAAAAAAAAAAAAAAAAAAAAAAAAAAAAAAAAAAAAAAAAAAAGh5yVu6xA0EAAAAAAAAAAAAAAAAAAAAAkBJsKouKDkEAAAAAAAAAAAAAAAAAAAAAAAAAAAAAAAAAAAAAAAAAAPUFfHybKxBBAAAAAAAAAAAAAAAAAAAAANYXyKNLuQRBAAAAAAAAAAAAAAAAAAAAAAAAAAAAAAAAAAAAAAAAAAAAAAAAAAAAAAAAAAAAAAAAAAAAAAAAAAAAAAAAAAAAAJLdVbQMNQpBAAAAAAAAAAAAAAAAAAAAAAAAAAAAAAAAAAAAAAAAAAAAAAAAAAAAAAAAAAAAAAAAAAAAAAAAAAAAAAAAAAAAAAAAAAAAAAAAAAAAAAAAAAAAAAAAAAAAAAAAAAAAAAAAAAAAAAAAAAAAAAAAAAAAAAAAAAAAAAAAAAAAAAAAAAAAAAAAAAAAAAAAAAAAAAAAAAAAAAAAAAAAAAAAAAAAAAAAAAAAAAAATHjalmc8BEEAAAAAAAAAAAAAAAAAAAAAAAAAAAAAAAAAAAAAAAAAAAAAAAAAAAAAAAAAAAAAAAAAAAAAAAAAABIcMudv7ARBAAAAAAAAAAAAAAAAAAAAAAAAAAAAAAAAAAAAAAAAAAAAAAAAAAAAAGYOvTOCvQlBAAAAAAAAAAACQitMTAoRQRQey1uHCRBBAAAAAAAAAAB0BxcqxmkSQawIhq2VfgVBvqb5A4OUB0EAAAAAAAAAAAAAAAAAAAAAAAAAAAAAAAAAAAAAAAAAANQ1rt/UtQZBRbruVQcYEEEAAAAAAAAAAAAAAAAAAAAAAAAAAAAAAAAAAAAAAAAAAAAAAAAAAAAAAAAAAAAAAAAAAAAAAAAAADCsLlbdRhFBAAAAAAAAAAAAAAAAAAAAACnzO8iyeA1BAAAAAAAAAAAAAAAAAAAAAAAAAAAAAAAAAAAAAAAAAAAAAAAAAAAAAAAAAAAAAAAAAAAAAAAAAAAAAAAAAAAAAAAAAAAAAAAAAAAAAAAAAAAAAAAAAAAAANpvNRbjBBFBAAAAAAAAAAA+D57vItEGQffvg3o4Hg5BAAAAAAAAAAAAAAAAAAAAAAAAAAAAAAAAAAAAAAAAAAAAAAAAAAAAAAAAAAAAAAAA6P6v2KWODkH1356itbELQQAAAAAAAAAA6WbJPaoBDkEAAAAAAAAAALE0HJTwewlBAAAAAAAAAAD7BWVZx6kMQQAAAAAAAAAAAAAAAAAAAAAAAAAAAAAAAAAAAAAAAAAAAAAAAAAAAAAAAAAAAAAAAAAAAAAAAAAAei2uAh6YAkETQrSZ8iAIQSq+cy6/PwlBAAAAAAAAAAAAAAAAAAAAANLT69FA2g9B4m/o2M7/CUEAAAAAAAAAAAAAAAAAAAAAAAAAAAAAAAAAAAAAAAAAAAAAAAAAAAAAAAAAAAAAAAAAAAAAAAAAAFJaYVooeAVBqEm5jReiBEGBwq7vHt4MQQAAAAAAAAAAAAAAAAAAAAAAAAAAAAAAAFRoKZsUNhNBgMCCJL//BUEAAAAAAAAAAAAAAAAAAAAAAAAAAAAAAAAAAAAAAAAAAAAAAAAAAAAAAAAAAAAAAAAAAAAAAAAAAAAAAAAAAAAAAAAAAAAAAABMEPxeXegHQUpLkNmqKAtBAAAAAAAAAAAAAAAAAAAAAKDIPMKrnv9AAAAAAAAAAAAAAAAAAAAAAAAAAAAAAAAAAAAAAAAAAAAAAAAAAAAAALOMghbdAghBXlQx70OKEEEAAAAAAAAAANvKSyMNIQZB30QKEccgEkEAAAAAAAAAAAAAAAAAAAAA5WMQhPWYE0EWUf2zzBgKQTADnuTzNw9Bjc0n4v+DCUEAAAAAAAAAAAAAAAAAAAAAAAAAAAAAAAAAAAAAAAAAAAAAAAAAAAAAl9OX6g/nDkEAAAAAAAAAAAAAAAAAAAAAAAAAAAAAAADGkUHoyb0LQaxUUbvtKxJBAAAAAAAAAACyvJPgSkoTQYA3/t9pOwpBekgotb6oCkEAAAAAAAAAAAAAAAAAAAAAAAAAAAAAAAAAAAAAAAAAAAAAAAAAAAAAAAAAAAAAAAAAAAAAAAAAAD+WL8u4DgxBAAAAAAAAAAD3B7nQloINQQAAAAAAAAAAmCQUFAe4EkEAAAAAAAAAAI5UPvEIjg9BAAAAAAAAAAAAAAAAAAAAAAAAAAAAAAAAAAAAAAAAAACj6S0hNW4JQVkZJLH65g1BAAAAAAAAAADofY7puSIMQQAAAAAAAAAAAAAAAAAAAAAAAAAAAAAAAAAAAAAAAAAAAAAAAAAAAAAAAAAAAAAAAAAAAAAAAAAAAAAAAAAAAAAAAAAAAAAAAAAAAAAAAAAAAAAAAAAAAAAAAAAAAAAAAAAAAAAAAAAAmkZdVhfcD0FAge7rj78MQQAAAAAAAAAAAAAAAAAAAADQk9LwycYOQQAAAAAAAAAAAAAAAAAAAAAAAAAAAAAAAAhcukVNZBBBZdVBW006CkEAAAAAAAAAAAAAAAAAAAAAAAAAAAAAAAAAAAAAAAAAAAAAAAAAAAAAAAAAAAAAAAAAAAAAAAAAAAAAAAAAAAAAAAAAAAAAAAAAAAAAAAAAAAAAAAAAAAAAAAAAAAAAAAAAAAAAAAAAAAAAAAAAAAAAAAAAAAAAAAAAAAAAAAAAAAAAAAAAAAAAFRxJmu0eCEEAAAAAAAAAAAAAAAAAAAAAAAAAAAAAAAAAAAAAAAAAAO5vUTfC/QxBAAAAAAAAAAAAAAAAAAAAAAAAAAAAAAAAmEFpT0Z0B0G97P1G8a4RQQAAAAAAAAAAAAAAAAAAAAAFLMRGqssHQQAAAAAAAAAAAAAAAAAAAAAAAAAAAAAAAKZKPXKQxQRBAAAAAAAAAAAAAAAAAAAAAAAAAAAAAAAAWd0pz2JxDUEetr/+xm0FQQAAAAAAAAAAAAAAAAAAAAAAAAAAAAAAAAAAAAAAAAAAAAAAAAAAAAAAAAAAAAAAAAAAAAAAAAAAAAAAAAAAAAAAAAAAAAAAAAAAAAAAAAAAAAAAAAAAAAAAAAAAAAAAAHJImQm1AQlBAAAAAAAAAAAAAAAAAAAAAAAAAAAAAAAAAAAAAAAAAAAI3lA7Bv0QQQAAAAAAAAAAAAAAAAAAAAAiDoSYTngEQQAAAAAAAAAAAAAAAAAAAAAAAAAAAAAAAAAAAAAAAAAAAAAAAAAAAAAAAAAAAAAAAAAAAAAAAAAAAAAAAAAAAADerfWDUtgEQQAAAAAAAAAA0SQ4rxv7D0HTKger2vMOQQAAAAAAAAAAAAAAAAAAAAAAAAAAAAAAAAAAAAAAAAAAAAAAAAAAAAAAAAAAAAAAAAAAAAAAAAAAAAAAAAAAAAAAAAAAAAAAAAAAAAAAAAAAAAAAAAAAAAAAAAAAAAAAAAAAAAAAAAAAAAAAAAAAAAAAAAAAAAAAAAAAAAAAAAAAAAAAAAAAAAAAAAAAAAAAAAAAAAAAAAAAAAAAAAAAAAAAAAAAAAAAAAAAAAAAAAAAAAAAAAAAAAAuJ2g85IAQQQAAAAAAAAAAAAAAAAAAAADIyzh67DQKQQAAAAAAAAAAAAAAAAAAAAAAAAAAAAAAAJRZoZcdygBBAAAAAAAAAAAMjs9kDUIHQQAAAAAAAAAAAAAAAAAAAAAAAAAAAAAAAAAAAAAAAAAAAAAAAAAAAAAAAAAAAAAAANSDRdmsOwhBAAAAAAAAAAAAAAAAAAAAAAAAAAAAAAAAAAAAAAAAAAAAAAAAAAAAAPUyVUOufhBBAAAAAAAAAAAAAAAAAAAAAKLC71hTdA1BbmSTwN2iA0EHSUnaFwAOQcMthRwoMAJBAAAAAAAAAADD/OzKR1MAQQAAAAAAAAAAtxu+cAACEkGKm2EL/P4KQQAAAAAAAAAAAAAAAAAAAAAAAAAAAAAAAAAAAAAAAAAAAAAAAAAAAAAAAAAAAAAAAAAAAAAAAAAAAAAAAAAAAAAAAAAAAAAAAHtnfHxCJgFBAAAAAAAAAAAAAAAAAAAAAEOn9XJPBwRBAAAAAAAAAAAAAAAAAAAAAGzpDdVI6ARBAAAAAAAAAADsJb0I20kLQcptmC0qDBJBxN09RP1oCEEAAAAAAAAAAAAAAAAAAAAAueCnZy0AAUEAAAAAAAAAAAAAAAAAAAAAAAAAAAAAAAAAAAAAAAAAAAAAAAAAAAAAAAAAAAAAAAAAAAAAAAAAAAAAAAAAAAAAAAAAAAAAAAAAAAAAAAAAAE14ybIkww1BVAlu8EB/BkEAAAAAAAAAAAAAAAAAAAAAAAAAAAAAAAAAAAAAAAAAAAAAAAAAAAAAB0ILrXvXDUEAAAAAAAAAAEr3VWilVwZBAAAAAAAAAAAAAAAAAAAAAAAAAAAAAAAAAAAAAAAAAAAAAAAAAAAAAAAAAAAAAAAAAAAAAAAAAAAAAAAAAAAAALCo8+3RlQpBA2FLzB2QD0EAAAAAAAAAAG3ZVSI21RBB7q7Z5CMMDEG8TXRo8pcRQQAAAAAAAAAArOmLJ3UpEUHUkG0ijpAKQQAAAAAAAAAAAAAAAAAAAAACWTjgnwEOQer87Q1DPARBAAAAAAAAAAAAAAAAAAAAAAAAAAAAAAAAwlJI+wGzEEEAAAAAAAAAAKVrA2RuKRNBeAlufZX+CkEAAAAAAAAAAAAAAAAAAAAAAAAAAAAAAAAAAAAAAAAAAAAAAAAAAAAAAAAAAAAAAAADhIxFbnQEQbalp8CXNRBBAAAAAAAAAAAAAAAAAAAAANZoTyknTgdBAAAAAAAAAAAAAAAAAAAAAAAAAAAAAAAAoiqzi4mwCUEAAAAAAAAAAAAAAAAAAAAA4Zl6lt1QEEHdvsdIvnkRQXRIdTxWWQRBAAAAAAAAAAAAAAAAAAAAAAAAAAAAAAAAAAAAAAAAAAAAAAAAAAAAAAAAAAAAAAAAAAAAAAAAAAAAAAAAAAAAADLj10QluQ1BAAAAAAAAAAAAAAAAAAAAAAAAAAAAAAAATICD+FjPDUEAAAAAAAAAAHiV1IM73A9BAAAAAAAAAAAAAAAAAAAAALa8YZBaPwZBAAAAAAAAAAAfXPxUBf4TQQAAAAAAAAAAAAAAAAAAAAAAAAAAAAAAAAAAAAAAAAAAAAAAAAAAAACet96oQG4KQQAAAAAAAAAAMQti3lf4DkGF3WBQwgAMQQAAAAAAAAAAAAAAAAAAAAAAAAAAAAAAAAAAAAAAAAAAAAAAAAAAAAAAAAAAAAAAAAAAAAAAAAAAAAAAAAAAAAAAAAAAAAAAAJ9CNwYhpQ1BAAAAAAAAAAB6v/gQNrYQQRetehhv8Q9B5E6DgHqDAkEAAAAAAAAAAAAAAAAAAAAAAAAAAAAAAAAAAAAAAAAAAAAAAAAAAAAAIcr/i2h8CEEAAAAAAAAAALLX5/MWzgdBAAAAAAAAAAAAAAAAAAAAAAAAAAAAAAAAAAAAAAAAAAAAAAAAAAAAAAAAAAAAAAAAAAAAAAAAAAAAAAAAAAAAAFOgbt6W5gxBAAAAAAAAAABNk56BnDQEQQAAAAAAAAAAAAAAAAAAAAAAAAAAAAAAAKq86R5EAgxBAAAAAAAAAAAAAAAAAAAAAAAAAAAAAAAAfO5A1WTiEkEAAAAAAAAAAAAAAAAAAAAAAAAAAAAAAAAAAAAAAAAAAKfrVe80QwZBAAAAAAAAAAAAAAAAAAAAAAAAAAAAAAAAAAAAAAAAAAAAAAAAAAAAAAAAAAAAAAAAwij8ddD/BkEAAAAAAAAAAAAAAAAAAAAAAAAAAAAAAAAAAAAAAAAAAAAAAAAAAAAAAAAAAAAAAABIDeaqhBcFQQAAAAAAAAAAQvkQoMVLDEEAAAAAAAAAAAAAAAAAAAAAAAAAAAAAAAAAAAAAAAAAAAAAAAAAAAAAAAAAAAAAAAAAAAAAAAAAAAAAAAAAAAAAAAAAAAAAAAAEoUTWFZYKQY5Gb5BbzRBBAAAAAAAAAAAAAAAAAAAAAAAAAAAAAAAAAAAAAAAAAAA6v1sUa+8RQQAAAAAAAAAAAAAAAAAAAAAAAAAAAAAAAAAAAAAAAAAAAAAAAAAAAAAAAAAAAAAAAAAAAAAAAAAAAAAAAAAAAABYNVZis/YBQQAAAAAAAAAAAAAAAAAAAAAAAAAAAAAAAAAAAAAAAAAAAAAAAAAAAAAAAAAAAAAAAAAAAAAAAAAAAAAAAAAAAAAAAAAAAAAAAJ4t0bTj2QlBoC1fiDC7BEEAAAAAAAAAALy3S7MwiwpBPk7/JhX4BEEAAAAAAAAAAEUXRfxy+AdBAAAAAAAAAAAAAAAAAAAAAAAAAAAAAAAAAAAAAAAAAAAAAAAAAAAAAAAAAAAAAAAAAAAAAAAAAAAAAAAAAAAAAAAAAAAAAAAAAAAAAAAAAAAAAAAAAAAAAAAAAAAAAAAAAAAAAAAAAAAAAAAAAAAAAAAAAAAAAAAAAAAAAAAAAAAAAAAAAAAAAAAAAAAAAAAAAAAAAAAAAAAAAAAAAAAAAE2zYa//jAZBHWNIl66DD0F7SWSW90sIQR3Panzg5glBAAAAAAAAAAAAAAAAAAAAAAAAAAAAAAAAAAAAAAAAAAAAAAAAAAAAAAAAAAAAAAAAAAAAAAAAAAAAAAAAAAAAAAAAAAAAAAAAAAAAAAAAAABm4hb1ZTAQQQAAAAAAAAAAAAAAAAAAAAAAAAAAAAAAAAAAAAAAAAAAAAAAAAAAAAAAAAAAAAAAANlEZlzL5QlBGKcYye5fEUH8lD58cbEAQQAAAAAAAAAAAAAAAAAAAAAAAAAAAAAAAA9OVS8SSg1BAAAAAAAAAAAAAAAAAAAAANQMMuKnhP9AAAAAAAAAAAAAAAAAAAAAAIRYSDxuHgdBAAAAAAAAAAAAAAAAAAAAAAAAAAAAAAAATKnr67UJB0EAAAAAAAAAACAA+in4eP9AVL0Z/ksTCUEAAAAAAAAAAHzFCzkyYgZBH/G9FGygCUEAAAAAAAAAAAAAAAAAAAAAAAAAAAAAAAAAAAAAAAAAAAAAAAAAAAAAVH1nWbgHEUEAAAAAAAAAAAAAAAAAAAAAAAAAAAAAAAAAAAAAAAAAAOB7KW3O2QRBAAAAAAAAAAAAAAAAAAAAAAAAAAAAAAAAAAAAAAAAAAAAAAAAAAAAAAAAAAAAAAAAAAAAAAAAAAAAAAAAAAAAAIx4mzqTsQhBAAAAAAAAAAAAAAAAAAAAAAAAAAAAAAAA]]></data>
</file>

<file path=customXml/itemProps1.xml><?xml version="1.0" encoding="utf-8"?>
<ds:datastoreItem xmlns:ds="http://schemas.openxmlformats.org/officeDocument/2006/customXml" ds:itemID="{6A2EE1C9-E717-4CAE-8923-31245CA5495D}">
  <ds:schemaRefs>
    <ds:schemaRef ds:uri="http://riskamp.com/xml/simulation-data-1.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Inputs</vt:lpstr>
      <vt:lpstr>Chart</vt:lpstr>
      <vt:lpstr>Model (Random Sampling)</vt:lpstr>
      <vt:lpstr>Data</vt:lpstr>
    </vt:vector>
  </TitlesOfParts>
  <Company>GDUK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Bass</dc:creator>
  <cp:lastModifiedBy>duncan</cp:lastModifiedBy>
  <cp:lastPrinted>2014-10-29T09:24:00Z</cp:lastPrinted>
  <dcterms:created xsi:type="dcterms:W3CDTF">2014-10-02T13:06:57Z</dcterms:created>
  <dcterms:modified xsi:type="dcterms:W3CDTF">2015-04-10T16:59:25Z</dcterms:modified>
</cp:coreProperties>
</file>